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trlProps/ctrlProp19.xml" ContentType="application/vnd.ms-excel.controlproperties+xml"/>
  <Override PartName="/xl/ctrlProps/ctrlProp20.xml" ContentType="application/vnd.ms-excel.controlproperties+xml"/>
  <Override PartName="/xl/drawings/drawing3.xml" ContentType="application/vnd.openxmlformats-officedocument.drawing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4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drawings/drawing5.xml" ContentType="application/vnd.openxmlformats-officedocument.drawing+xml"/>
  <Override PartName="/xl/ctrlProps/ctrlProp26.xml" ContentType="application/vnd.ms-excel.controlproperties+xml"/>
  <Override PartName="/xl/ctrlProps/ctrlProp27.xml" ContentType="application/vnd.ms-excel.controlproperties+xml"/>
  <Override PartName="/xl/drawings/drawing6.xml" ContentType="application/vnd.openxmlformats-officedocument.drawing+xml"/>
  <Override PartName="/xl/ctrlProps/ctrlProp28.xml" ContentType="application/vnd.ms-excel.controlproperties+xml"/>
  <Override PartName="/xl/ctrlProps/ctrlProp29.xml" ContentType="application/vnd.ms-excel.controlproperties+xml"/>
  <Override PartName="/xl/drawings/drawing7.xml" ContentType="application/vnd.openxmlformats-officedocument.drawing+xml"/>
  <Override PartName="/xl/ctrlProps/ctrlProp30.xml" ContentType="application/vnd.ms-excel.controlproperties+xml"/>
  <Override PartName="/xl/ctrlProps/ctrlProp31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xl/python.xml" ContentType="application/vnd.ms-excel.pytho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:\Kalkulačka OP TAK 2 - prázdná\"/>
    </mc:Choice>
  </mc:AlternateContent>
  <xr:revisionPtr revIDLastSave="0" documentId="8_{B08A39ED-8784-4EEF-8A91-63CC3D7A06BC}" xr6:coauthVersionLast="47" xr6:coauthVersionMax="47" xr10:uidLastSave="{00000000-0000-0000-0000-000000000000}"/>
  <bookViews>
    <workbookView xWindow="4125" yWindow="2370" windowWidth="21600" windowHeight="11265" xr2:uid="{CDB27665-EAC8-43BF-BE03-9B90D386F6F4}"/>
  </bookViews>
  <sheets>
    <sheet name="Hlavní list" sheetId="16" r:id="rId1"/>
    <sheet name="Zateplení" sheetId="10" r:id="rId2"/>
    <sheet name="Rekuperace" sheetId="11" state="hidden" r:id="rId3"/>
    <sheet name="Osvětlení" sheetId="5" state="hidden" r:id="rId4"/>
    <sheet name="Zdroj" sheetId="7" state="hidden" r:id="rId5"/>
    <sheet name="FVE" sheetId="1" state="hidden" r:id="rId6"/>
    <sheet name="Protokol" sheetId="20" state="hidden" r:id="rId7"/>
    <sheet name="Export" sheetId="30" state="hidden" r:id="rId8"/>
    <sheet name="Vstupy" sheetId="27" state="hidden" r:id="rId9"/>
    <sheet name="Bilance" sheetId="22" state="hidden" r:id="rId10"/>
    <sheet name="Globální" sheetId="9" state="hidden" r:id="rId11"/>
    <sheet name="Listy" sheetId="18" state="hidden" r:id="rId12"/>
    <sheet name="Parametry" sheetId="12" state="hidden" r:id="rId13"/>
    <sheet name="ParametryZateplení" sheetId="14" state="hidden" r:id="rId14"/>
    <sheet name="Budova" sheetId="13" state="hidden" r:id="rId15"/>
    <sheet name="Budova_Opatření" sheetId="15" state="hidden" r:id="rId16"/>
    <sheet name="ParametryRekuperace" sheetId="17" state="hidden" r:id="rId17"/>
    <sheet name="ParametryZdroje" sheetId="8" state="hidden" r:id="rId18"/>
    <sheet name="Nositele" sheetId="29" state="hidden" r:id="rId19"/>
    <sheet name="ParametryOsvětlení" sheetId="6" state="hidden" r:id="rId20"/>
    <sheet name="ParametryFVE" sheetId="4" state="hidden" r:id="rId21"/>
    <sheet name="Jen_zdroj" sheetId="23" state="hidden" r:id="rId22"/>
    <sheet name="Jen_zateplení" sheetId="24" state="hidden" r:id="rId23"/>
    <sheet name="Zdroj_a_zateplení" sheetId="25" state="hidden" r:id="rId24"/>
    <sheet name="Primární" sheetId="28" state="hidden" r:id="rId25"/>
  </sheets>
  <functionGroups builtInGroupCount="19"/>
  <definedNames>
    <definedName name="_xlnm._FilterDatabase" localSheetId="14" hidden="1">Budova!$A$69:$I$304</definedName>
    <definedName name="AdminMode">Listy!$G$2</definedName>
    <definedName name="ano">Globální!$A$2</definedName>
    <definedName name="ano_ne">Parametry!$B$65:$B$66</definedName>
    <definedName name="CFLMax">ParametryOsvětlení!$K$7</definedName>
    <definedName name="CFLMin">ParametryOsvětlení!$J$7</definedName>
    <definedName name="DeltaUPodlaha">Budova_Opatření!$K$15</definedName>
    <definedName name="DeltaUStěny">Budova_Opatření!$K$13</definedName>
    <definedName name="DeltaUStřecha">Budova_Opatření!$K$14</definedName>
    <definedName name="Denostupně">ParametryZateplení!$B$44</definedName>
    <definedName name="elektrokotel">Parametry!$P$2</definedName>
    <definedName name="EtaZdrBudova">ParametryZateplení!$L$18</definedName>
    <definedName name="EtaZdrNew">ParametryZdroje!$B$26</definedName>
    <definedName name="ETAZdrOld">ParametryZdroje!$V$6</definedName>
    <definedName name="HalogenMax">ParametryOsvětlení!$K$4</definedName>
    <definedName name="HalogenMin">ParametryOsvětlení!$J$4</definedName>
    <definedName name="je_export">Listy!$B$8</definedName>
    <definedName name="je_FVE">Listy!$B$6</definedName>
    <definedName name="je_osvětlení">Listy!$B$4</definedName>
    <definedName name="je_protokol">Listy!$B$7</definedName>
    <definedName name="je_rekuperace">Listy!$B$3</definedName>
    <definedName name="je_zateplení">Listy!$B$2</definedName>
    <definedName name="je_zdroj">Listy!$B$5</definedName>
    <definedName name="JePENB">Globální!$B$1</definedName>
    <definedName name="Kontrola">Globální!$B$11</definedName>
    <definedName name="kotel_na_topný_olej">Parametry!$Q$2</definedName>
    <definedName name="kotel_na_zemní_plyn">Parametry!$O$2</definedName>
    <definedName name="KS_konstrukce_po">Bilance!$B$8</definedName>
    <definedName name="KS_konstrukce_před">Bilance!$B$7</definedName>
    <definedName name="KS_osvětlení_před">Bilance!$B$10</definedName>
    <definedName name="KS_PENB_před">Bilance!$B$5</definedName>
    <definedName name="KS_z_listu_kotel">Bilance!$B$2</definedName>
    <definedName name="KS_zateplení_zadaná">Bilance!$B$3</definedName>
    <definedName name="kWh_na_GJ">Globální!$B$4</definedName>
    <definedName name="LambdaPodlaha">Budova_Opatření!$J$15</definedName>
    <definedName name="LambdaStěny">Budova_Opatření!$J$13</definedName>
    <definedName name="LambdaStřecha">Budova_Opatření!$J$14</definedName>
    <definedName name="MaxCOPTČOld">ParametryZdroje!$S$11</definedName>
    <definedName name="MaxEtaZdrOld">ParametryZdroje!$S$9</definedName>
    <definedName name="MaxPiBaterie">ParametryFVE!$C$5</definedName>
    <definedName name="MaxTeplota">ParametryZateplení!$B$30</definedName>
    <definedName name="MaxTlIzol">ParametryZateplení!$B$37</definedName>
    <definedName name="MaxU">ParametryZateplení!$B$32</definedName>
    <definedName name="MaxUPENB">ParametryZateplení!$B$39</definedName>
    <definedName name="MaxÚspora">Globální!$B$14</definedName>
    <definedName name="MaxVyužFVE">ParametryFVE!$C$3</definedName>
    <definedName name="MinCOPTČOld">ParametryZdroje!$S$10</definedName>
    <definedName name="MinDeltaSpotřeby">ParametryZateplení!$B$36</definedName>
    <definedName name="MinDeltaU">ParametryZateplení!$B$35</definedName>
    <definedName name="MinEtaRekuperace">ParametryRekuperace!$B$1</definedName>
    <definedName name="MinEtaZdrOld">ParametryZdroje!$S$8</definedName>
    <definedName name="MinPiBaterie">ParametryFVE!$C$4</definedName>
    <definedName name="MinSpotř_m2">ParametryZateplení!$B$33</definedName>
    <definedName name="MinTeplota">ParametryZateplení!$B$29</definedName>
    <definedName name="MinU">ParametryZateplení!$B$31</definedName>
    <definedName name="MinUPENB">ParametryZateplení!$B$38</definedName>
    <definedName name="MinÚspora">ParametryZateplení!$B$34</definedName>
    <definedName name="MinVyužFVE">ParametryFVE!$C$2</definedName>
    <definedName name="ne">Globální!$A$3</definedName>
    <definedName name="nový_kotel">Parametry!$A$46:$A$49</definedName>
    <definedName name="_xlnm.Print_Area" localSheetId="6">Protokol!$B$2:$H$122</definedName>
    <definedName name="PamátkováOchrana">Zateplení!$J$7</definedName>
    <definedName name="PassWord">'Hlavní list'!$B$111</definedName>
    <definedName name="PlochaDveří">Zateplení!$J$74</definedName>
    <definedName name="PlochaOken">Zateplení!$J$68</definedName>
    <definedName name="PlochaPodlahy">Zateplení!$J$61</definedName>
    <definedName name="PlochaStěn">Zateplení!$J$45</definedName>
    <definedName name="PlochaStřechy">Zateplení!$J$53</definedName>
    <definedName name="PlochaSvětlíků">Zateplení!$J$80</definedName>
    <definedName name="PodlahováPlocha">Zateplení!$J$10</definedName>
    <definedName name="roky">Parametry!$A$157:$A$162</definedName>
    <definedName name="RtuťovkaMax">ParametryOsvětlení!$K$6</definedName>
    <definedName name="RtuťovkaMin">ParametryOsvětlení!$J$6</definedName>
    <definedName name="Snížení_ZV">Parametry!$A$210</definedName>
    <definedName name="Stará_paliva">ParametryZdroje!$B$8:$G$16</definedName>
    <definedName name="starý_kotel">Parametry!$A$34:$A$39</definedName>
    <definedName name="TlIzolPodlahy">Zateplení!$J$60</definedName>
    <definedName name="TlIzolStěn">Zateplení!$J$44</definedName>
    <definedName name="TlIzolStřechy">Zateplení!$J$52</definedName>
    <definedName name="Typ_SZT">Globální!$B$7</definedName>
    <definedName name="TypBudovy">ParametryZateplení!$C$1</definedName>
    <definedName name="Účinnost_nová">Globální!$B$6</definedName>
    <definedName name="Účinnost_po">Bilance!#REF!</definedName>
    <definedName name="Účinnost_před">Bilance!#REF!</definedName>
    <definedName name="Účinnost_stará">Globální!$B$5</definedName>
    <definedName name="UDveří">Zateplení!$J$75</definedName>
    <definedName name="UOken">Zateplení!$J$69</definedName>
    <definedName name="UPodlahy">Zateplení!$J$65</definedName>
    <definedName name="US_konstrukce_po">Bilance!$C$8</definedName>
    <definedName name="US_konstrukce_před">Bilance!$C$7</definedName>
    <definedName name="US_PENB_před">Bilance!$C$5</definedName>
    <definedName name="US_z_listu_kotel">Bilance!$C$2</definedName>
    <definedName name="US_zateplení_zadaná">Bilance!$C$3</definedName>
    <definedName name="UStěn">Zateplení!$J$49</definedName>
    <definedName name="UStřechy">Zateplení!$J$57</definedName>
    <definedName name="USvětlíků">Zateplení!$J$81</definedName>
    <definedName name="Verze">'Hlavní list'!$G$3</definedName>
    <definedName name="VnějšíTeplota">ParametryZateplení!$B$40</definedName>
    <definedName name="VnitřníTeplota">Zateplení!$J$12</definedName>
    <definedName name="Výjimka">Globální!$B$13</definedName>
    <definedName name="VýměnaDveří">Zateplení!$J$72</definedName>
    <definedName name="VýměnaOken">Zateplení!$J$66</definedName>
    <definedName name="VýměnaSvětlíků">Zateplení!$J$78</definedName>
    <definedName name="Zadaná_spotřeba_budovy">Bilance!#REF!</definedName>
    <definedName name="ZářivkaMax">ParametryOsvětlení!$K$5</definedName>
    <definedName name="ZářivkaMin">ParametryOsvětlení!$J$5</definedName>
    <definedName name="ZatepleníPodlahy">Zateplení!$J$58</definedName>
    <definedName name="ZatepleníStěn">Zateplení!$J$42</definedName>
    <definedName name="ZatepleníStřechy">Zateplení!$J$50</definedName>
    <definedName name="ZdrojIdxBudova">ParametryZateplení!$B$15</definedName>
    <definedName name="ZdrojIdxNew">ParametryZdroje!$B$23</definedName>
    <definedName name="ZdrojIdxOld">ParametryZdroje!$B$3</definedName>
    <definedName name="ZdrojPočetPaliv">ParametryZdroje!$B$4</definedName>
    <definedName name="ZdrojPočetPalivBudova">ParametryZateplení!$B$16</definedName>
    <definedName name="Způsobilost">Globální!$B$12</definedName>
    <definedName name="ZpůsobVýpočtu">ParametryZateplení!$A$1</definedName>
    <definedName name="ŽárovkaMax">ParametryOsvětlení!$K$3</definedName>
    <definedName name="ŽárovkaMin">ParametryOsvětlení!$J$3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80" i="10" l="1"/>
  <c r="K80" i="10" s="1"/>
  <c r="L74" i="10"/>
  <c r="K74" i="10" s="1"/>
  <c r="L68" i="10"/>
  <c r="K68" i="10" s="1"/>
  <c r="L61" i="10"/>
  <c r="K61" i="10" s="1"/>
  <c r="L53" i="10"/>
  <c r="K53" i="10" s="1"/>
  <c r="L45" i="10"/>
  <c r="K45" i="10" s="1"/>
  <c r="P74" i="10" a="1"/>
  <c r="P68" i="10" a="1"/>
  <c r="P53" i="10" a="1"/>
  <c r="P61" i="10" a="1"/>
  <c r="P80" i="10" a="1"/>
  <c r="P45" i="10" a="1"/>
  <c r="P80" i="10" l="1"/>
  <c r="G80" i="10" s="1" a="1"/>
  <c r="G80" i="10" s="1"/>
  <c r="P74" i="10"/>
  <c r="G74" i="10" s="1" a="1"/>
  <c r="G74" i="10" s="1"/>
  <c r="P68" i="10"/>
  <c r="G68" i="10" s="1" a="1"/>
  <c r="G68" i="10" s="1"/>
  <c r="P61" i="10"/>
  <c r="G61" i="10" s="1" a="1"/>
  <c r="G61" i="10" s="1"/>
  <c r="P53" i="10"/>
  <c r="G53" i="10" s="1" a="1"/>
  <c r="G53" i="10" s="1"/>
  <c r="P45" i="10"/>
  <c r="G45" i="10" s="1" a="1"/>
  <c r="G45" i="10" s="1"/>
  <c r="A55" i="27" a="1"/>
  <c r="A53" i="27" a="1"/>
  <c r="A51" i="27" a="1"/>
  <c r="A46" i="27" a="1"/>
  <c r="A43" i="27" a="1"/>
  <c r="A49" i="27" a="1"/>
  <c r="A55" i="27" l="1"/>
  <c r="A53" i="27"/>
  <c r="A51" i="27"/>
  <c r="A49" i="27"/>
  <c r="A46" i="27"/>
  <c r="A43" i="27"/>
  <c r="D55" i="27" l="1"/>
  <c r="C55" i="27"/>
  <c r="D53" i="27"/>
  <c r="C53" i="27"/>
  <c r="D51" i="27"/>
  <c r="C51" i="27"/>
  <c r="C49" i="27"/>
  <c r="D49" i="27"/>
  <c r="C46" i="27"/>
  <c r="D46" i="27"/>
  <c r="D43" i="27"/>
  <c r="C43" i="27"/>
  <c r="L42" i="10" l="1"/>
  <c r="K42" i="10" s="1"/>
  <c r="P42" i="10" a="1"/>
  <c r="P42" i="10" l="1"/>
  <c r="L39" i="10" l="1"/>
  <c r="L37" i="10"/>
  <c r="K37" i="10" s="1"/>
  <c r="L35" i="10"/>
  <c r="K35" i="10" s="1"/>
  <c r="L33" i="10"/>
  <c r="K33" i="10" s="1"/>
  <c r="L31" i="10"/>
  <c r="K31" i="10" s="1"/>
  <c r="L30" i="10"/>
  <c r="K30" i="10" s="1"/>
  <c r="L28" i="10"/>
  <c r="K28" i="10" s="1"/>
  <c r="L27" i="10"/>
  <c r="K27" i="10" s="1"/>
  <c r="P28" i="10" a="1"/>
  <c r="P27" i="10" a="1"/>
  <c r="P39" i="10" a="1"/>
  <c r="P37" i="10" a="1"/>
  <c r="P35" i="10" a="1"/>
  <c r="P33" i="10" a="1"/>
  <c r="P31" i="10" a="1"/>
  <c r="P30" i="10" a="1"/>
  <c r="P33" i="10" l="1"/>
  <c r="G33" i="10" s="1" a="1"/>
  <c r="G33" i="10" s="1"/>
  <c r="P27" i="10"/>
  <c r="G27" i="10" s="1" a="1"/>
  <c r="G27" i="10" s="1"/>
  <c r="P37" i="10"/>
  <c r="G37" i="10" s="1" a="1"/>
  <c r="G37" i="10" s="1"/>
  <c r="P35" i="10"/>
  <c r="G35" i="10" s="1" a="1"/>
  <c r="G35" i="10" s="1"/>
  <c r="P28" i="10"/>
  <c r="G28" i="10" s="1" a="1"/>
  <c r="G28" i="10" s="1"/>
  <c r="P30" i="10"/>
  <c r="G30" i="10" s="1" a="1"/>
  <c r="G30" i="10" s="1"/>
  <c r="P31" i="10"/>
  <c r="G31" i="10" s="1" a="1"/>
  <c r="G31" i="10" s="1"/>
  <c r="P39" i="10"/>
  <c r="G39" i="10" s="1" a="1"/>
  <c r="G39" i="10" s="1"/>
  <c r="K39" i="10"/>
  <c r="Z22" i="22" l="1"/>
  <c r="Z20" i="22"/>
  <c r="L10" i="10" l="1"/>
  <c r="K10" i="10" s="1"/>
  <c r="L8" i="10"/>
  <c r="L7" i="10"/>
  <c r="P10" i="10" a="1"/>
  <c r="P7" i="10" a="1"/>
  <c r="P8" i="10" a="1"/>
  <c r="A28" i="27" a="1"/>
  <c r="A28" i="27" l="1"/>
  <c r="P7" i="10"/>
  <c r="G7" i="10" s="1" a="1"/>
  <c r="G7" i="10" s="1"/>
  <c r="P8" i="10"/>
  <c r="G8" i="10" s="1" a="1"/>
  <c r="G8" i="10" s="1"/>
  <c r="P10" i="10"/>
  <c r="G10" i="10" s="1" a="1"/>
  <c r="G10" i="10" s="1"/>
  <c r="B1" i="12"/>
  <c r="D28" i="27" l="1"/>
  <c r="C28" i="27"/>
  <c r="J60" i="20" l="1"/>
  <c r="J59" i="20"/>
  <c r="J58" i="20"/>
  <c r="J57" i="20"/>
  <c r="J56" i="20"/>
  <c r="G60" i="20"/>
  <c r="G59" i="20"/>
  <c r="G58" i="20"/>
  <c r="G57" i="20"/>
  <c r="G56" i="20"/>
  <c r="J80" i="20"/>
  <c r="J70" i="20"/>
  <c r="L20" i="10" l="1"/>
  <c r="L18" i="10"/>
  <c r="I54" i="16"/>
  <c r="I55" i="16"/>
  <c r="P18" i="10" a="1"/>
  <c r="P20" i="10" a="1"/>
  <c r="A25" i="27" a="1"/>
  <c r="P20" i="10" l="1"/>
  <c r="N20" i="10" s="1"/>
  <c r="P18" i="10"/>
  <c r="A25" i="27"/>
  <c r="L5" i="10"/>
  <c r="M5" i="10" s="1"/>
  <c r="P5" i="10" a="1"/>
  <c r="N18" i="10" l="1"/>
  <c r="D25" i="27"/>
  <c r="C25" i="27"/>
  <c r="P5" i="10"/>
  <c r="G5" i="10" s="1" a="1"/>
  <c r="G5" i="10" s="1"/>
  <c r="K5" i="10"/>
  <c r="C95" i="16" l="1"/>
  <c r="C42" i="16" l="1"/>
  <c r="H7" i="24"/>
  <c r="H6" i="24"/>
  <c r="H5" i="24"/>
  <c r="H4" i="24"/>
  <c r="G7" i="24"/>
  <c r="G6" i="24"/>
  <c r="G5" i="24"/>
  <c r="G4" i="24"/>
  <c r="F7" i="24"/>
  <c r="F6" i="24"/>
  <c r="F5" i="24"/>
  <c r="F4" i="24"/>
  <c r="L30" i="16"/>
  <c r="L19" i="16"/>
  <c r="G5" i="30" a="1"/>
  <c r="G5" i="30" s="1"/>
  <c r="G4" i="30" a="1"/>
  <c r="G4" i="30" s="1"/>
  <c r="A5" i="30" a="1"/>
  <c r="A5" i="30" s="1"/>
  <c r="A4" i="30" a="1"/>
  <c r="B4" i="30" s="1"/>
  <c r="CX5" i="30"/>
  <c r="CW5" i="30"/>
  <c r="CV5" i="30"/>
  <c r="CT5" i="30"/>
  <c r="CS5" i="30"/>
  <c r="CR5" i="30"/>
  <c r="CP5" i="30"/>
  <c r="CO5" i="30"/>
  <c r="CN5" i="30"/>
  <c r="CL5" i="30"/>
  <c r="CK5" i="30"/>
  <c r="EV5" i="30"/>
  <c r="EU5" i="30"/>
  <c r="ET5" i="30"/>
  <c r="ES5" i="30"/>
  <c r="ER5" i="30"/>
  <c r="EE5" i="30"/>
  <c r="ED5" i="30"/>
  <c r="EC5" i="30"/>
  <c r="EB5" i="30"/>
  <c r="EA5" i="30"/>
  <c r="DZ5" i="30"/>
  <c r="DY5" i="30"/>
  <c r="DX5" i="30"/>
  <c r="DW5" i="30"/>
  <c r="DV5" i="30"/>
  <c r="DU5" i="30"/>
  <c r="DT5" i="30"/>
  <c r="DS5" i="30"/>
  <c r="DR5" i="30"/>
  <c r="DQ5" i="30"/>
  <c r="DP5" i="30"/>
  <c r="DO5" i="30"/>
  <c r="DN5" i="30"/>
  <c r="DM5" i="30"/>
  <c r="DL5" i="30"/>
  <c r="DK5" i="30"/>
  <c r="DJ5" i="30"/>
  <c r="DI5" i="30"/>
  <c r="DH5" i="30"/>
  <c r="DG5" i="30"/>
  <c r="DF5" i="30"/>
  <c r="DE5" i="30"/>
  <c r="DD5" i="30"/>
  <c r="DC5" i="30"/>
  <c r="DB5" i="30"/>
  <c r="DA5" i="30"/>
  <c r="CZ5" i="30"/>
  <c r="CY5" i="30"/>
  <c r="CU5" i="30"/>
  <c r="CQ5" i="30"/>
  <c r="CM5" i="30"/>
  <c r="CJ5" i="30"/>
  <c r="CG5" i="30"/>
  <c r="CF5" i="30"/>
  <c r="CE5" i="30"/>
  <c r="CD5" i="30"/>
  <c r="CA5" i="30"/>
  <c r="BZ5" i="30"/>
  <c r="BY5" i="30"/>
  <c r="BX5" i="30"/>
  <c r="BU5" i="30"/>
  <c r="BT5" i="30"/>
  <c r="BS5" i="30"/>
  <c r="BR5" i="30"/>
  <c r="BN5" i="30"/>
  <c r="BM5" i="30"/>
  <c r="BL5" i="30"/>
  <c r="BK5" i="30"/>
  <c r="BJ5" i="30"/>
  <c r="BF5" i="30"/>
  <c r="BE5" i="30"/>
  <c r="BD5" i="30"/>
  <c r="BC5" i="30"/>
  <c r="BB5" i="30"/>
  <c r="AX5" i="30"/>
  <c r="AW5" i="30"/>
  <c r="AV5" i="30"/>
  <c r="AU5" i="30"/>
  <c r="AT5" i="30"/>
  <c r="AS5" i="30"/>
  <c r="AR5" i="30"/>
  <c r="AQ5" i="30"/>
  <c r="AP5" i="30"/>
  <c r="AO5" i="30"/>
  <c r="AN5" i="30"/>
  <c r="AM5" i="30"/>
  <c r="AL5" i="30"/>
  <c r="AK5" i="30"/>
  <c r="AJ5" i="30"/>
  <c r="AI5" i="30"/>
  <c r="AH5" i="30"/>
  <c r="AF5" i="30"/>
  <c r="AE5" i="30"/>
  <c r="AD5" i="30"/>
  <c r="AC5" i="30"/>
  <c r="AB5" i="30"/>
  <c r="AA5" i="30"/>
  <c r="Z5" i="30"/>
  <c r="Y5" i="30"/>
  <c r="X5" i="30"/>
  <c r="W5" i="30"/>
  <c r="V5" i="30"/>
  <c r="U5" i="30"/>
  <c r="T5" i="30"/>
  <c r="S5" i="30"/>
  <c r="R5" i="30"/>
  <c r="Q5" i="30"/>
  <c r="P5" i="30"/>
  <c r="O5" i="30"/>
  <c r="N5" i="30"/>
  <c r="M5" i="30"/>
  <c r="L5" i="30"/>
  <c r="K5" i="30"/>
  <c r="J5" i="30"/>
  <c r="I5" i="30"/>
  <c r="EV4" i="30"/>
  <c r="EU4" i="30"/>
  <c r="ET4" i="30"/>
  <c r="ES4" i="30"/>
  <c r="ER4" i="30"/>
  <c r="P19" i="16" a="1"/>
  <c r="A11" i="27" a="1"/>
  <c r="P19" i="16" l="1"/>
  <c r="E19" i="16" s="1" a="1"/>
  <c r="E19" i="16" s="1"/>
  <c r="A11" i="27"/>
  <c r="H5" i="30"/>
  <c r="H4" i="30"/>
  <c r="F5" i="30"/>
  <c r="E5" i="30"/>
  <c r="D5" i="30"/>
  <c r="C5" i="30"/>
  <c r="B5" i="30"/>
  <c r="A4" i="30"/>
  <c r="F4" i="30"/>
  <c r="E4" i="30"/>
  <c r="D4" i="30"/>
  <c r="C4" i="30"/>
  <c r="J25" i="20"/>
  <c r="J24" i="20"/>
  <c r="F105" i="20"/>
  <c r="F104" i="20"/>
  <c r="F103" i="20"/>
  <c r="F102" i="20"/>
  <c r="F101" i="20"/>
  <c r="I84" i="16"/>
  <c r="C8" i="18"/>
  <c r="C4" i="18"/>
  <c r="C3" i="18"/>
  <c r="B1" i="27"/>
  <c r="I83" i="16"/>
  <c r="N7" i="1"/>
  <c r="C14" i="1" s="1"/>
  <c r="N14" i="16"/>
  <c r="E21" i="16" a="1"/>
  <c r="E21" i="16" s="1"/>
  <c r="E20" i="16" a="1"/>
  <c r="E20" i="16" s="1"/>
  <c r="L23" i="16"/>
  <c r="P23" i="16" s="1"/>
  <c r="E23" i="16" s="1" a="1"/>
  <c r="E23" i="16" s="1"/>
  <c r="L22" i="16"/>
  <c r="P22" i="16" s="1"/>
  <c r="E22" i="16" s="1" a="1"/>
  <c r="E22" i="16" s="1"/>
  <c r="O31" i="16"/>
  <c r="L29" i="16"/>
  <c r="L28" i="16"/>
  <c r="L27" i="16"/>
  <c r="L26" i="16"/>
  <c r="N4" i="1"/>
  <c r="C12" i="1" s="1"/>
  <c r="K4" i="1"/>
  <c r="K7" i="1"/>
  <c r="M4" i="11"/>
  <c r="O7" i="1" a="1"/>
  <c r="O4" i="1" a="1"/>
  <c r="P29" i="16" a="1"/>
  <c r="P26" i="16" a="1"/>
  <c r="P27" i="16" a="1"/>
  <c r="P30" i="16" a="1"/>
  <c r="P28" i="16" a="1"/>
  <c r="A148" i="27" a="1"/>
  <c r="A39" i="27" a="1"/>
  <c r="A78" i="27" a="1"/>
  <c r="A118" i="27" a="1"/>
  <c r="A40" i="27" a="1"/>
  <c r="A197" i="27" a="1"/>
  <c r="A128" i="27" a="1"/>
  <c r="A44" i="27" a="1"/>
  <c r="A86" i="27" a="1"/>
  <c r="A10" i="27" a="1"/>
  <c r="A68" i="27" a="1"/>
  <c r="A203" i="27" a="1"/>
  <c r="A186" i="27" a="1"/>
  <c r="A110" i="27" a="1"/>
  <c r="A45" i="27" a="1"/>
  <c r="A21" i="27" a="1"/>
  <c r="A192" i="27" a="1"/>
  <c r="A57" i="27" a="1"/>
  <c r="A188" i="27" a="1"/>
  <c r="A36" i="27" a="1"/>
  <c r="A29" i="27" a="1"/>
  <c r="A180" i="27" a="1"/>
  <c r="A191" i="27" a="1"/>
  <c r="A59" i="27" a="1"/>
  <c r="A69" i="27" a="1"/>
  <c r="A124" i="27" a="1"/>
  <c r="A164" i="27" a="1"/>
  <c r="A115" i="27" a="1"/>
  <c r="A212" i="27" a="1"/>
  <c r="A67" i="27" a="1"/>
  <c r="A184" i="27" a="1"/>
  <c r="A8" i="27" a="1"/>
  <c r="A108" i="27" a="1"/>
  <c r="A153" i="27" a="1"/>
  <c r="A150" i="27" a="1"/>
  <c r="A155" i="27" a="1"/>
  <c r="A95" i="27" a="1"/>
  <c r="A70" i="27" a="1"/>
  <c r="A22" i="27" a="1"/>
  <c r="A194" i="27" a="1"/>
  <c r="A125" i="27" a="1"/>
  <c r="A6" i="27" a="1"/>
  <c r="A9" i="27" a="1"/>
  <c r="A13" i="27" a="1"/>
  <c r="A132" i="27" a="1"/>
  <c r="A93" i="27" a="1"/>
  <c r="A106" i="27" a="1"/>
  <c r="A77" i="27" a="1"/>
  <c r="A18" i="27" a="1"/>
  <c r="A15" i="27" a="1"/>
  <c r="A87" i="27" a="1"/>
  <c r="A107" i="27" a="1"/>
  <c r="A88" i="27" a="1"/>
  <c r="A193" i="27" a="1"/>
  <c r="A24" i="27" a="1"/>
  <c r="A120" i="27" a="1"/>
  <c r="A100" i="27" a="1"/>
  <c r="A19" i="27" a="1"/>
  <c r="A112" i="27" a="1"/>
  <c r="A99" i="27" a="1"/>
  <c r="A111" i="27" a="1"/>
  <c r="A182" i="27" a="1"/>
  <c r="A204" i="27" a="1"/>
  <c r="A185" i="27" a="1"/>
  <c r="A101" i="27" a="1"/>
  <c r="A206" i="27" a="1"/>
  <c r="A178" i="27" a="1"/>
  <c r="A52" i="27" a="1"/>
  <c r="A145" i="27" a="1"/>
  <c r="A165" i="27" a="1"/>
  <c r="A32" i="27" a="1"/>
  <c r="A183" i="27" a="1"/>
  <c r="A89" i="27" a="1"/>
  <c r="A61" i="27" a="1"/>
  <c r="A130" i="27" a="1"/>
  <c r="A160" i="27" a="1"/>
  <c r="A58" i="27" a="1"/>
  <c r="A146" i="27" a="1"/>
  <c r="A214" i="27" a="1"/>
  <c r="A152" i="27" a="1"/>
  <c r="A47" i="27" a="1"/>
  <c r="A27" i="27" a="1"/>
  <c r="A201" i="27" a="1"/>
  <c r="A205" i="27" a="1"/>
  <c r="A91" i="27" a="1"/>
  <c r="A96" i="27" a="1"/>
  <c r="A114" i="27" a="1"/>
  <c r="A109" i="27" a="1"/>
  <c r="A26" i="27" a="1"/>
  <c r="A37" i="27" a="1"/>
  <c r="A5" i="27" a="1"/>
  <c r="A143" i="27" a="1"/>
  <c r="A60" i="27" a="1"/>
  <c r="A90" i="27" a="1"/>
  <c r="A14" i="27" a="1"/>
  <c r="A163" i="27" a="1"/>
  <c r="A97" i="27" a="1"/>
  <c r="A12" i="27" a="1"/>
  <c r="A41" i="27" a="1"/>
  <c r="A199" i="27" a="1"/>
  <c r="A74" i="27" a="1"/>
  <c r="A4" i="27" a="1"/>
  <c r="A195" i="27" a="1"/>
  <c r="A127" i="27" a="1"/>
  <c r="A104" i="27" a="1"/>
  <c r="A142" i="27" a="1"/>
  <c r="A213" i="27" a="1"/>
  <c r="A84" i="27" a="1"/>
  <c r="A133" i="27" a="1"/>
  <c r="A119" i="27" a="1"/>
  <c r="A166" i="27" a="1"/>
  <c r="A171" i="27" a="1"/>
  <c r="A98" i="27" a="1"/>
  <c r="A158" i="27" a="1"/>
  <c r="A175" i="27" a="1"/>
  <c r="A82" i="27" a="1"/>
  <c r="A64" i="27" a="1"/>
  <c r="A210" i="27" a="1"/>
  <c r="A189" i="27" a="1"/>
  <c r="A129" i="27" a="1"/>
  <c r="A139" i="27" a="1"/>
  <c r="A134" i="27" a="1"/>
  <c r="A113" i="27" a="1"/>
  <c r="A31" i="27" a="1"/>
  <c r="A71" i="27" a="1"/>
  <c r="A33" i="27" a="1"/>
  <c r="A38" i="27" a="1"/>
  <c r="A72" i="27" a="1"/>
  <c r="A157" i="27" a="1"/>
  <c r="A176" i="27" a="1"/>
  <c r="A123" i="27" a="1"/>
  <c r="A179" i="27" a="1"/>
  <c r="A168" i="27" a="1"/>
  <c r="A85" i="27" a="1"/>
  <c r="A105" i="27" a="1"/>
  <c r="A172" i="27" a="1"/>
  <c r="A196" i="27" a="1"/>
  <c r="A140" i="27" a="1"/>
  <c r="A211" i="27" a="1"/>
  <c r="A149" i="27" a="1"/>
  <c r="A117" i="27" a="1"/>
  <c r="A102" i="27" a="1"/>
  <c r="A181" i="27" a="1"/>
  <c r="A154" i="27" a="1"/>
  <c r="A122" i="27" a="1"/>
  <c r="A162" i="27" a="1"/>
  <c r="A198" i="27" a="1"/>
  <c r="A54" i="27" a="1"/>
  <c r="A200" i="27" a="1"/>
  <c r="A144" i="27" a="1"/>
  <c r="A177" i="27" a="1"/>
  <c r="A190" i="27" a="1"/>
  <c r="A66" i="27" a="1"/>
  <c r="A147" i="27" a="1"/>
  <c r="A159" i="27" a="1"/>
  <c r="A137" i="27" a="1"/>
  <c r="A30" i="27" a="1"/>
  <c r="A75" i="27" a="1"/>
  <c r="A202" i="27" a="1"/>
  <c r="A207" i="27" a="1"/>
  <c r="A16" i="27" a="1"/>
  <c r="A174" i="27" a="1"/>
  <c r="A94" i="27" a="1"/>
  <c r="A215" i="27" a="1"/>
  <c r="A216" i="27" a="1"/>
  <c r="A81" i="27" a="1"/>
  <c r="A170" i="27" a="1"/>
  <c r="A121" i="27" a="1"/>
  <c r="A167" i="27" a="1"/>
  <c r="A103" i="27" a="1"/>
  <c r="A209" i="27" a="1"/>
  <c r="A126" i="27" a="1"/>
  <c r="A7" i="27" a="1"/>
  <c r="A65" i="27" a="1"/>
  <c r="A80" i="27" a="1"/>
  <c r="A23" i="27" a="1"/>
  <c r="A50" i="27" a="1"/>
  <c r="A141" i="27" a="1"/>
  <c r="A169" i="27" a="1"/>
  <c r="A79" i="27" a="1"/>
  <c r="A17" i="27" a="1"/>
  <c r="A135" i="27" a="1"/>
  <c r="A136" i="27" a="1"/>
  <c r="A156" i="27" a="1"/>
  <c r="A151" i="27" a="1"/>
  <c r="A56" i="27" a="1"/>
  <c r="A131" i="27" a="1"/>
  <c r="A138" i="27" a="1"/>
  <c r="A116" i="27" a="1"/>
  <c r="A42" i="27" a="1"/>
  <c r="A187" i="27" a="1"/>
  <c r="A92" i="27" a="1"/>
  <c r="A34" i="27" a="1"/>
  <c r="A161" i="27" a="1"/>
  <c r="A48" i="27" a="1"/>
  <c r="A20" i="27" a="1"/>
  <c r="A35" i="27" a="1"/>
  <c r="A173" i="27" a="1"/>
  <c r="A208" i="27" a="1"/>
  <c r="A73" i="27" a="1"/>
  <c r="A62" i="27" a="1"/>
  <c r="A83" i="27" a="1"/>
  <c r="A76" i="27" a="1"/>
  <c r="A63" i="27" a="1"/>
  <c r="A213" i="27" l="1"/>
  <c r="A215" i="27"/>
  <c r="A216" i="27"/>
  <c r="A214" i="27"/>
  <c r="A212" i="27"/>
  <c r="A211" i="27"/>
  <c r="A207" i="27"/>
  <c r="A208" i="27"/>
  <c r="A209" i="27"/>
  <c r="A210" i="27"/>
  <c r="A206" i="27"/>
  <c r="A205" i="27"/>
  <c r="A203" i="27"/>
  <c r="A202" i="27"/>
  <c r="A204" i="27"/>
  <c r="A198" i="27"/>
  <c r="A199" i="27"/>
  <c r="A197" i="27"/>
  <c r="A200" i="27"/>
  <c r="A201" i="27"/>
  <c r="A196" i="27"/>
  <c r="A195" i="27"/>
  <c r="A194" i="27"/>
  <c r="A190" i="27"/>
  <c r="A192" i="27"/>
  <c r="A191" i="27"/>
  <c r="A193" i="27"/>
  <c r="A189" i="27"/>
  <c r="A185" i="27"/>
  <c r="A186" i="27"/>
  <c r="A183" i="27"/>
  <c r="A187" i="27"/>
  <c r="A184" i="27"/>
  <c r="A188" i="27"/>
  <c r="A182" i="27"/>
  <c r="A179" i="27"/>
  <c r="A176" i="27"/>
  <c r="A175" i="27"/>
  <c r="A180" i="27"/>
  <c r="A181" i="27"/>
  <c r="A177" i="27"/>
  <c r="A174" i="27"/>
  <c r="A178" i="27"/>
  <c r="A173" i="27"/>
  <c r="A171" i="27"/>
  <c r="A172" i="27"/>
  <c r="A170" i="27"/>
  <c r="A168" i="27"/>
  <c r="A169" i="27"/>
  <c r="A167" i="27"/>
  <c r="A166" i="27"/>
  <c r="A163" i="27"/>
  <c r="A162" i="27"/>
  <c r="A165" i="27"/>
  <c r="A164" i="27"/>
  <c r="A161" i="27"/>
  <c r="A157" i="27"/>
  <c r="A158" i="27"/>
  <c r="A156" i="27"/>
  <c r="A159" i="27"/>
  <c r="A155" i="27"/>
  <c r="A160" i="27"/>
  <c r="A154" i="27"/>
  <c r="A149" i="27"/>
  <c r="A153" i="27"/>
  <c r="A146" i="27"/>
  <c r="A150" i="27"/>
  <c r="A147" i="27"/>
  <c r="A151" i="27"/>
  <c r="A148" i="27"/>
  <c r="A152" i="27"/>
  <c r="A145" i="27"/>
  <c r="A144" i="27"/>
  <c r="A143" i="27"/>
  <c r="A142" i="27"/>
  <c r="A139" i="27"/>
  <c r="A141" i="27"/>
  <c r="A140" i="27"/>
  <c r="A138" i="27"/>
  <c r="A18" i="27"/>
  <c r="A134" i="27"/>
  <c r="A135" i="27"/>
  <c r="A136" i="27"/>
  <c r="A137" i="27"/>
  <c r="A133" i="27"/>
  <c r="A132" i="27"/>
  <c r="A127" i="27"/>
  <c r="A129" i="27"/>
  <c r="A130" i="27"/>
  <c r="A128" i="27"/>
  <c r="A131" i="27"/>
  <c r="A126" i="27"/>
  <c r="A120" i="27"/>
  <c r="A121" i="27"/>
  <c r="A119" i="27"/>
  <c r="A123" i="27"/>
  <c r="A122" i="27"/>
  <c r="A124" i="27"/>
  <c r="A125" i="27"/>
  <c r="A118" i="27"/>
  <c r="A117" i="27"/>
  <c r="A116" i="27"/>
  <c r="A115" i="27"/>
  <c r="A112" i="27"/>
  <c r="A114" i="27"/>
  <c r="A113" i="27"/>
  <c r="A111" i="27"/>
  <c r="A110" i="27"/>
  <c r="A108" i="27"/>
  <c r="A107" i="27"/>
  <c r="A109" i="27"/>
  <c r="A106" i="27"/>
  <c r="A103" i="27"/>
  <c r="A102" i="27"/>
  <c r="A104" i="27"/>
  <c r="A105" i="27"/>
  <c r="A101" i="27"/>
  <c r="A97" i="27"/>
  <c r="A98" i="27"/>
  <c r="A99" i="27"/>
  <c r="A100" i="27"/>
  <c r="A96" i="27"/>
  <c r="A93" i="27"/>
  <c r="A92" i="27"/>
  <c r="A95" i="27"/>
  <c r="A94" i="27"/>
  <c r="A91" i="27"/>
  <c r="A87" i="27"/>
  <c r="A88" i="27"/>
  <c r="A90" i="27"/>
  <c r="A89" i="27"/>
  <c r="A86" i="27"/>
  <c r="A84" i="27"/>
  <c r="A85" i="27"/>
  <c r="A83" i="27"/>
  <c r="A81" i="27"/>
  <c r="A80" i="27"/>
  <c r="A82" i="27"/>
  <c r="A79" i="27"/>
  <c r="A76" i="27"/>
  <c r="A77" i="27"/>
  <c r="A78" i="27"/>
  <c r="A75" i="27"/>
  <c r="A72" i="27"/>
  <c r="A73" i="27"/>
  <c r="A74" i="27"/>
  <c r="A71" i="27"/>
  <c r="A67" i="27"/>
  <c r="A68" i="27"/>
  <c r="A70" i="27"/>
  <c r="A69" i="27"/>
  <c r="A66" i="27"/>
  <c r="A63" i="27"/>
  <c r="A62" i="27"/>
  <c r="A65" i="27"/>
  <c r="A64" i="27"/>
  <c r="A61" i="27"/>
  <c r="A58" i="27"/>
  <c r="A57" i="27"/>
  <c r="A60" i="27"/>
  <c r="A59" i="27"/>
  <c r="A56" i="27"/>
  <c r="A54" i="27"/>
  <c r="A47" i="27"/>
  <c r="A48" i="27"/>
  <c r="A50" i="27"/>
  <c r="A44" i="27"/>
  <c r="A45" i="27"/>
  <c r="A52" i="27"/>
  <c r="A42" i="27"/>
  <c r="A38" i="27"/>
  <c r="A39" i="27"/>
  <c r="A41" i="27"/>
  <c r="A37" i="27"/>
  <c r="A40" i="27"/>
  <c r="A36" i="27"/>
  <c r="A30" i="27"/>
  <c r="A32" i="27"/>
  <c r="A31" i="27"/>
  <c r="A29" i="27"/>
  <c r="A33" i="27"/>
  <c r="A26" i="27"/>
  <c r="A34" i="27"/>
  <c r="A27" i="27"/>
  <c r="A35" i="27"/>
  <c r="A24" i="27"/>
  <c r="A21" i="27"/>
  <c r="A22" i="27"/>
  <c r="A23" i="27"/>
  <c r="A20" i="27"/>
  <c r="A19" i="27"/>
  <c r="A17" i="27"/>
  <c r="A13" i="27"/>
  <c r="A16" i="27"/>
  <c r="A14" i="27"/>
  <c r="A15" i="27"/>
  <c r="A12" i="27"/>
  <c r="A10" i="27"/>
  <c r="A6" i="27"/>
  <c r="A5" i="27"/>
  <c r="A7" i="27"/>
  <c r="A8" i="27"/>
  <c r="A9" i="27"/>
  <c r="A4" i="27"/>
  <c r="C4" i="27" s="1"/>
  <c r="P27" i="16"/>
  <c r="E27" i="16" s="1" a="1"/>
  <c r="E27" i="16" s="1"/>
  <c r="P28" i="16"/>
  <c r="E28" i="16" s="1" a="1"/>
  <c r="E28" i="16" s="1"/>
  <c r="P29" i="16"/>
  <c r="E29" i="16" s="1" a="1"/>
  <c r="E29" i="16" s="1"/>
  <c r="P30" i="16"/>
  <c r="E30" i="16" s="1" a="1"/>
  <c r="E30" i="16" s="1"/>
  <c r="P26" i="16"/>
  <c r="E26" i="16" s="1" a="1"/>
  <c r="E26" i="16" s="1"/>
  <c r="O4" i="1"/>
  <c r="O7" i="1"/>
  <c r="C143" i="27" l="1"/>
  <c r="D143" i="27"/>
  <c r="C158" i="27"/>
  <c r="D158" i="27"/>
  <c r="C167" i="27"/>
  <c r="D167" i="27"/>
  <c r="D174" i="27"/>
  <c r="C174" i="27"/>
  <c r="C188" i="27"/>
  <c r="D188" i="27"/>
  <c r="C191" i="27"/>
  <c r="D191" i="27"/>
  <c r="D197" i="27"/>
  <c r="C197" i="27"/>
  <c r="C215" i="27"/>
  <c r="D215" i="27"/>
  <c r="C144" i="27"/>
  <c r="D144" i="27"/>
  <c r="C153" i="27"/>
  <c r="D153" i="27"/>
  <c r="C157" i="27"/>
  <c r="D157" i="27"/>
  <c r="C169" i="27"/>
  <c r="D169" i="27"/>
  <c r="C177" i="27"/>
  <c r="D177" i="27"/>
  <c r="C192" i="27"/>
  <c r="D192" i="27"/>
  <c r="C199" i="27"/>
  <c r="D199" i="27"/>
  <c r="C209" i="27"/>
  <c r="D209" i="27"/>
  <c r="D213" i="27"/>
  <c r="C213" i="27"/>
  <c r="C145" i="27"/>
  <c r="D145" i="27"/>
  <c r="C149" i="27"/>
  <c r="D149" i="27"/>
  <c r="C161" i="27"/>
  <c r="D161" i="27"/>
  <c r="C168" i="27"/>
  <c r="D168" i="27"/>
  <c r="C181" i="27"/>
  <c r="D181" i="27"/>
  <c r="C187" i="27"/>
  <c r="D187" i="27"/>
  <c r="D190" i="27"/>
  <c r="C190" i="27"/>
  <c r="D198" i="27"/>
  <c r="C198" i="27"/>
  <c r="C208" i="27"/>
  <c r="D208" i="27"/>
  <c r="C138" i="27"/>
  <c r="D138" i="27"/>
  <c r="C152" i="27"/>
  <c r="D152" i="27"/>
  <c r="D154" i="27"/>
  <c r="C154" i="27"/>
  <c r="C164" i="27"/>
  <c r="D164" i="27"/>
  <c r="D170" i="27"/>
  <c r="C170" i="27"/>
  <c r="C180" i="27"/>
  <c r="D180" i="27"/>
  <c r="C183" i="27"/>
  <c r="D183" i="27"/>
  <c r="C194" i="27"/>
  <c r="D194" i="27"/>
  <c r="C204" i="27"/>
  <c r="D204" i="27"/>
  <c r="C207" i="27"/>
  <c r="D207" i="27"/>
  <c r="D146" i="27"/>
  <c r="C146" i="27"/>
  <c r="D210" i="27"/>
  <c r="C210" i="27"/>
  <c r="C184" i="27"/>
  <c r="D184" i="27"/>
  <c r="C141" i="27"/>
  <c r="D141" i="27"/>
  <c r="C155" i="27"/>
  <c r="D155" i="27"/>
  <c r="C171" i="27"/>
  <c r="D171" i="27"/>
  <c r="D185" i="27"/>
  <c r="C185" i="27"/>
  <c r="C196" i="27"/>
  <c r="D196" i="27"/>
  <c r="C212" i="27"/>
  <c r="D212" i="27"/>
  <c r="C140" i="27"/>
  <c r="D140" i="27"/>
  <c r="C148" i="27"/>
  <c r="D148" i="27"/>
  <c r="C160" i="27"/>
  <c r="D160" i="27"/>
  <c r="C165" i="27"/>
  <c r="D165" i="27"/>
  <c r="C172" i="27"/>
  <c r="D172" i="27"/>
  <c r="C175" i="27"/>
  <c r="D175" i="27"/>
  <c r="D186" i="27"/>
  <c r="C186" i="27"/>
  <c r="C195" i="27"/>
  <c r="D195" i="27"/>
  <c r="D202" i="27"/>
  <c r="C202" i="27"/>
  <c r="D211" i="27"/>
  <c r="C211" i="27"/>
  <c r="C151" i="27"/>
  <c r="D151" i="27"/>
  <c r="D162" i="27"/>
  <c r="C162" i="27"/>
  <c r="C176" i="27"/>
  <c r="D176" i="27"/>
  <c r="D203" i="27"/>
  <c r="C203" i="27"/>
  <c r="C139" i="27"/>
  <c r="D139" i="27"/>
  <c r="C147" i="27"/>
  <c r="D147" i="27"/>
  <c r="C159" i="27"/>
  <c r="D159" i="27"/>
  <c r="C163" i="27"/>
  <c r="D163" i="27"/>
  <c r="D173" i="27"/>
  <c r="C173" i="27"/>
  <c r="C179" i="27"/>
  <c r="D179" i="27"/>
  <c r="C189" i="27"/>
  <c r="D189" i="27"/>
  <c r="C201" i="27"/>
  <c r="D201" i="27"/>
  <c r="D205" i="27"/>
  <c r="C205" i="27"/>
  <c r="D214" i="27"/>
  <c r="C214" i="27"/>
  <c r="D142" i="27"/>
  <c r="C142" i="27"/>
  <c r="D150" i="27"/>
  <c r="C150" i="27"/>
  <c r="C156" i="27"/>
  <c r="D156" i="27"/>
  <c r="D166" i="27"/>
  <c r="C166" i="27"/>
  <c r="D178" i="27"/>
  <c r="C178" i="27"/>
  <c r="D182" i="27"/>
  <c r="C182" i="27"/>
  <c r="C193" i="27"/>
  <c r="D193" i="27"/>
  <c r="C200" i="27"/>
  <c r="D200" i="27"/>
  <c r="D206" i="27"/>
  <c r="C206" i="27"/>
  <c r="C216" i="27"/>
  <c r="D216" i="27"/>
  <c r="D18" i="27"/>
  <c r="C18" i="27"/>
  <c r="D79" i="27"/>
  <c r="C79" i="27"/>
  <c r="D58" i="27"/>
  <c r="C58" i="27"/>
  <c r="D91" i="27"/>
  <c r="C91" i="27"/>
  <c r="D34" i="27"/>
  <c r="C34" i="27"/>
  <c r="D107" i="27"/>
  <c r="C107" i="27"/>
  <c r="D45" i="27"/>
  <c r="C45" i="27"/>
  <c r="D108" i="27"/>
  <c r="C108" i="27"/>
  <c r="D33" i="27"/>
  <c r="C33" i="27"/>
  <c r="D64" i="27"/>
  <c r="C64" i="27"/>
  <c r="D76" i="27"/>
  <c r="C76" i="27"/>
  <c r="D126" i="27"/>
  <c r="C126" i="27"/>
  <c r="D29" i="27"/>
  <c r="C29" i="27"/>
  <c r="D65" i="27"/>
  <c r="C65" i="27"/>
  <c r="D111" i="27"/>
  <c r="C111" i="27"/>
  <c r="D14" i="27"/>
  <c r="C14" i="27"/>
  <c r="D96" i="27"/>
  <c r="C96" i="27"/>
  <c r="D128" i="27"/>
  <c r="C128" i="27"/>
  <c r="D32" i="27"/>
  <c r="C32" i="27"/>
  <c r="D114" i="27"/>
  <c r="C114" i="27"/>
  <c r="D99" i="27"/>
  <c r="C99" i="27"/>
  <c r="D57" i="27"/>
  <c r="C57" i="27"/>
  <c r="D119" i="27"/>
  <c r="C119" i="27"/>
  <c r="D10" i="27"/>
  <c r="C10" i="27"/>
  <c r="D120" i="27"/>
  <c r="C120" i="27"/>
  <c r="D6" i="27"/>
  <c r="C6" i="27"/>
  <c r="D109" i="27"/>
  <c r="C109" i="27"/>
  <c r="D78" i="27"/>
  <c r="C78" i="27"/>
  <c r="D94" i="27"/>
  <c r="C94" i="27"/>
  <c r="D77" i="27"/>
  <c r="C77" i="27"/>
  <c r="D12" i="27"/>
  <c r="C12" i="27"/>
  <c r="D110" i="27"/>
  <c r="C110" i="27"/>
  <c r="D15" i="27"/>
  <c r="C15" i="27"/>
  <c r="D93" i="27"/>
  <c r="C93" i="27"/>
  <c r="D40" i="27"/>
  <c r="C40" i="27"/>
  <c r="D59" i="27"/>
  <c r="C59" i="27"/>
  <c r="D122" i="27"/>
  <c r="C122" i="27"/>
  <c r="D135" i="27"/>
  <c r="C135" i="27"/>
  <c r="D27" i="27"/>
  <c r="C27" i="27"/>
  <c r="D75" i="27"/>
  <c r="C75" i="27"/>
  <c r="D52" i="27"/>
  <c r="C52" i="27"/>
  <c r="D121" i="27"/>
  <c r="C121" i="27"/>
  <c r="D26" i="27"/>
  <c r="C26" i="27"/>
  <c r="D61" i="27"/>
  <c r="C61" i="27"/>
  <c r="D95" i="27"/>
  <c r="C95" i="27"/>
  <c r="D44" i="27"/>
  <c r="C44" i="27"/>
  <c r="D92" i="27"/>
  <c r="C92" i="27"/>
  <c r="D131" i="27"/>
  <c r="C131" i="27"/>
  <c r="D31" i="27"/>
  <c r="C31" i="27"/>
  <c r="D62" i="27"/>
  <c r="C62" i="27"/>
  <c r="D82" i="27"/>
  <c r="C82" i="27"/>
  <c r="D113" i="27"/>
  <c r="C113" i="27"/>
  <c r="D16" i="27"/>
  <c r="C16" i="27"/>
  <c r="D50" i="27"/>
  <c r="C50" i="27"/>
  <c r="D63" i="27"/>
  <c r="C63" i="27"/>
  <c r="D80" i="27"/>
  <c r="C80" i="27"/>
  <c r="D100" i="27"/>
  <c r="C100" i="27"/>
  <c r="D130" i="27"/>
  <c r="C130" i="27"/>
  <c r="D13" i="27"/>
  <c r="C13" i="27"/>
  <c r="D30" i="27"/>
  <c r="C30" i="27"/>
  <c r="D66" i="27"/>
  <c r="C66" i="27"/>
  <c r="D81" i="27"/>
  <c r="C81" i="27"/>
  <c r="D112" i="27"/>
  <c r="C112" i="27"/>
  <c r="D129" i="27"/>
  <c r="C129" i="27"/>
  <c r="D17" i="27"/>
  <c r="C17" i="27"/>
  <c r="D69" i="27"/>
  <c r="C69" i="27"/>
  <c r="D83" i="27"/>
  <c r="C83" i="27"/>
  <c r="D98" i="27"/>
  <c r="C98" i="27"/>
  <c r="D115" i="27"/>
  <c r="C115" i="27"/>
  <c r="D127" i="27"/>
  <c r="C127" i="27"/>
  <c r="D19" i="27"/>
  <c r="C19" i="27"/>
  <c r="D36" i="27"/>
  <c r="C36" i="27"/>
  <c r="D48" i="27"/>
  <c r="C48" i="27"/>
  <c r="D70" i="27"/>
  <c r="C70" i="27"/>
  <c r="D85" i="27"/>
  <c r="C85" i="27"/>
  <c r="D97" i="27"/>
  <c r="C97" i="27"/>
  <c r="D116" i="27"/>
  <c r="C116" i="27"/>
  <c r="D132" i="27"/>
  <c r="C132" i="27"/>
  <c r="D20" i="27"/>
  <c r="C20" i="27"/>
  <c r="D47" i="27"/>
  <c r="C47" i="27"/>
  <c r="D68" i="27"/>
  <c r="C68" i="27"/>
  <c r="D84" i="27"/>
  <c r="C84" i="27"/>
  <c r="D101" i="27"/>
  <c r="C101" i="27"/>
  <c r="D117" i="27"/>
  <c r="C117" i="27"/>
  <c r="D133" i="27"/>
  <c r="C133" i="27"/>
  <c r="D9" i="27"/>
  <c r="C9" i="27"/>
  <c r="D23" i="27"/>
  <c r="C23" i="27"/>
  <c r="D37" i="27"/>
  <c r="C37" i="27"/>
  <c r="D54" i="27"/>
  <c r="C54" i="27"/>
  <c r="D67" i="27"/>
  <c r="C67" i="27"/>
  <c r="D86" i="27"/>
  <c r="C86" i="27"/>
  <c r="D105" i="27"/>
  <c r="C105" i="27"/>
  <c r="D118" i="27"/>
  <c r="C118" i="27"/>
  <c r="D137" i="27"/>
  <c r="C137" i="27"/>
  <c r="D11" i="27"/>
  <c r="C11" i="27"/>
  <c r="D22" i="27"/>
  <c r="C22" i="27"/>
  <c r="D41" i="27"/>
  <c r="C41" i="27"/>
  <c r="D71" i="27"/>
  <c r="C71" i="27"/>
  <c r="D89" i="27"/>
  <c r="C89" i="27"/>
  <c r="D104" i="27"/>
  <c r="C104" i="27"/>
  <c r="D125" i="27"/>
  <c r="C125" i="27"/>
  <c r="D8" i="27"/>
  <c r="C8" i="27"/>
  <c r="D21" i="27"/>
  <c r="C21" i="27"/>
  <c r="D39" i="27"/>
  <c r="C39" i="27"/>
  <c r="D56" i="27"/>
  <c r="C56" i="27"/>
  <c r="D74" i="27"/>
  <c r="C74" i="27"/>
  <c r="D90" i="27"/>
  <c r="C90" i="27"/>
  <c r="D102" i="27"/>
  <c r="C102" i="27"/>
  <c r="D124" i="27"/>
  <c r="C124" i="27"/>
  <c r="D136" i="27"/>
  <c r="C136" i="27"/>
  <c r="D7" i="27"/>
  <c r="C7" i="27"/>
  <c r="D24" i="27"/>
  <c r="C24" i="27"/>
  <c r="D38" i="27"/>
  <c r="C38" i="27"/>
  <c r="D73" i="27"/>
  <c r="C73" i="27"/>
  <c r="D88" i="27"/>
  <c r="C88" i="27"/>
  <c r="D103" i="27"/>
  <c r="C103" i="27"/>
  <c r="D5" i="27"/>
  <c r="C5" i="27"/>
  <c r="D35" i="27"/>
  <c r="C35" i="27"/>
  <c r="D42" i="27"/>
  <c r="C42" i="27"/>
  <c r="D60" i="27"/>
  <c r="C60" i="27"/>
  <c r="D72" i="27"/>
  <c r="C72" i="27"/>
  <c r="D87" i="27"/>
  <c r="C87" i="27"/>
  <c r="D106" i="27"/>
  <c r="C106" i="27"/>
  <c r="D123" i="27"/>
  <c r="C123" i="27"/>
  <c r="D134" i="27"/>
  <c r="C134" i="27"/>
  <c r="D4" i="27"/>
  <c r="I27" i="16"/>
  <c r="J27" i="16" s="1"/>
  <c r="I26" i="16"/>
  <c r="J26" i="16" s="1"/>
  <c r="I28" i="16"/>
  <c r="J28" i="16" s="1"/>
  <c r="I29" i="16"/>
  <c r="J29" i="16" s="1"/>
  <c r="I30" i="16"/>
  <c r="J30" i="16" s="1"/>
  <c r="H20" i="23"/>
  <c r="H19" i="23"/>
  <c r="I11" i="25"/>
  <c r="H11" i="25"/>
  <c r="I10" i="25"/>
  <c r="H10" i="25"/>
  <c r="I9" i="25"/>
  <c r="H9" i="25"/>
  <c r="I8" i="25"/>
  <c r="H8" i="25"/>
  <c r="H11" i="24"/>
  <c r="G11" i="24"/>
  <c r="H10" i="24"/>
  <c r="G10" i="24"/>
  <c r="H9" i="24"/>
  <c r="G9" i="24"/>
  <c r="H8" i="24"/>
  <c r="G8" i="24"/>
  <c r="I20" i="23"/>
  <c r="I19" i="23"/>
  <c r="I21" i="23"/>
  <c r="I22" i="23"/>
  <c r="H21" i="23"/>
  <c r="H22" i="23"/>
  <c r="I11" i="23"/>
  <c r="I10" i="23"/>
  <c r="I9" i="23"/>
  <c r="I8" i="23"/>
  <c r="H11" i="23"/>
  <c r="H10" i="23"/>
  <c r="H9" i="23"/>
  <c r="H8" i="23"/>
  <c r="D31" i="16" l="1"/>
  <c r="B106" i="20"/>
  <c r="B105" i="20"/>
  <c r="B104" i="20"/>
  <c r="B103" i="20"/>
  <c r="B102" i="20"/>
  <c r="B101" i="20"/>
  <c r="B100" i="20"/>
  <c r="B99" i="20"/>
  <c r="B98" i="20"/>
  <c r="B97" i="20"/>
  <c r="B96" i="20"/>
  <c r="B95" i="20"/>
  <c r="B94" i="20"/>
  <c r="B93" i="20"/>
  <c r="I95" i="16"/>
  <c r="J100" i="20" s="1"/>
  <c r="I101" i="16"/>
  <c r="J106" i="20" s="1"/>
  <c r="I88" i="16"/>
  <c r="J93" i="20" s="1"/>
  <c r="H25" i="20"/>
  <c r="H24" i="20"/>
  <c r="E12" i="20"/>
  <c r="E11" i="20"/>
  <c r="E10" i="20"/>
  <c r="E9" i="20"/>
  <c r="E8" i="20"/>
  <c r="E7" i="20"/>
  <c r="D100" i="20"/>
  <c r="N31" i="16" l="1"/>
  <c r="I80" i="16" s="1"/>
  <c r="G61" i="20"/>
  <c r="S15" i="18"/>
  <c r="E31" i="16" l="1"/>
  <c r="L79" i="10"/>
  <c r="L78" i="10"/>
  <c r="L15" i="16"/>
  <c r="J15" i="16" s="1"/>
  <c r="I79" i="16" s="1"/>
  <c r="L14" i="16"/>
  <c r="L11" i="16"/>
  <c r="L10" i="16"/>
  <c r="J10" i="16" s="1"/>
  <c r="L9" i="16"/>
  <c r="L8" i="16"/>
  <c r="L7" i="16"/>
  <c r="L6" i="16"/>
  <c r="M6" i="16" s="1"/>
  <c r="E1" i="9"/>
  <c r="N15" i="16" s="1"/>
  <c r="P9" i="16" a="1"/>
  <c r="P14" i="16" a="1"/>
  <c r="P7" i="16" a="1"/>
  <c r="P8" i="16" a="1"/>
  <c r="J11" i="16" l="1"/>
  <c r="J8" i="16"/>
  <c r="J9" i="16"/>
  <c r="M7" i="16"/>
  <c r="M8" i="16" s="1"/>
  <c r="M9" i="16" s="1"/>
  <c r="M10" i="16" s="1"/>
  <c r="M11" i="16" s="1"/>
  <c r="M14" i="16" s="1"/>
  <c r="M15" i="16" s="1"/>
  <c r="J14" i="16"/>
  <c r="I78" i="16" s="1"/>
  <c r="P14" i="16"/>
  <c r="E14" i="16" s="1" a="1"/>
  <c r="E14" i="16" s="1"/>
  <c r="P8" i="16"/>
  <c r="H8" i="16" s="1" a="1"/>
  <c r="H8" i="16" s="1"/>
  <c r="P9" i="16"/>
  <c r="H9" i="16" s="1" a="1"/>
  <c r="H9" i="16" s="1"/>
  <c r="P7" i="16"/>
  <c r="H7" i="16" s="1" a="1"/>
  <c r="H7" i="16" s="1"/>
  <c r="J7" i="16"/>
  <c r="J6" i="16"/>
  <c r="L13" i="10"/>
  <c r="P10" i="16" a="1"/>
  <c r="P6" i="16" a="1"/>
  <c r="P15" i="16" a="1"/>
  <c r="P11" i="16" a="1"/>
  <c r="P10" i="16" l="1"/>
  <c r="H10" i="16" s="1" a="1"/>
  <c r="H10" i="16" s="1"/>
  <c r="P6" i="16"/>
  <c r="H6" i="16" s="1" a="1"/>
  <c r="H6" i="16" s="1"/>
  <c r="P11" i="16"/>
  <c r="H11" i="16" s="1" a="1"/>
  <c r="H11" i="16" s="1"/>
  <c r="P15" i="16"/>
  <c r="E15" i="16" s="1" a="1"/>
  <c r="E15" i="16" s="1"/>
  <c r="G20" i="23"/>
  <c r="G19" i="23"/>
  <c r="F45" i="29"/>
  <c r="F44" i="29"/>
  <c r="F43" i="29"/>
  <c r="F42" i="29"/>
  <c r="F41" i="29"/>
  <c r="F40" i="29"/>
  <c r="F39" i="29"/>
  <c r="F38" i="29"/>
  <c r="F37" i="29"/>
  <c r="F36" i="29"/>
  <c r="F35" i="29"/>
  <c r="F34" i="29"/>
  <c r="F33" i="29"/>
  <c r="F32" i="29"/>
  <c r="F31" i="29"/>
  <c r="F30" i="29"/>
  <c r="A12" i="24" l="1"/>
  <c r="A27" i="24" s="1"/>
  <c r="A11" i="24"/>
  <c r="A26" i="24" s="1"/>
  <c r="A10" i="24"/>
  <c r="A25" i="24" s="1"/>
  <c r="A9" i="24"/>
  <c r="A24" i="24" s="1"/>
  <c r="A8" i="24"/>
  <c r="A23" i="24" s="1"/>
  <c r="A7" i="24"/>
  <c r="A6" i="24"/>
  <c r="A5" i="24"/>
  <c r="A4" i="24"/>
  <c r="H36" i="25"/>
  <c r="D36" i="25"/>
  <c r="H35" i="25"/>
  <c r="D35" i="25"/>
  <c r="K34" i="25"/>
  <c r="A34" i="25" a="1"/>
  <c r="A37" i="25" s="1"/>
  <c r="A19" i="23" a="1"/>
  <c r="A19" i="23" s="1"/>
  <c r="A12" i="25"/>
  <c r="A27" i="25" s="1"/>
  <c r="A11" i="25"/>
  <c r="A26" i="25" s="1"/>
  <c r="A10" i="25"/>
  <c r="A9" i="25"/>
  <c r="A8" i="25"/>
  <c r="A23" i="25" s="1"/>
  <c r="A7" i="25"/>
  <c r="A22" i="25" s="1"/>
  <c r="A6" i="25"/>
  <c r="A21" i="25" s="1"/>
  <c r="A5" i="25"/>
  <c r="A20" i="25" s="1"/>
  <c r="A4" i="25"/>
  <c r="A19" i="25" s="1"/>
  <c r="K27" i="25"/>
  <c r="K26" i="25"/>
  <c r="K12" i="25"/>
  <c r="D12" i="25"/>
  <c r="D27" i="25" s="1"/>
  <c r="K11" i="25"/>
  <c r="J11" i="25"/>
  <c r="J26" i="25" s="1"/>
  <c r="I26" i="25"/>
  <c r="H26" i="25"/>
  <c r="D11" i="25"/>
  <c r="D26" i="25" s="1"/>
  <c r="K10" i="25"/>
  <c r="K25" i="25" s="1"/>
  <c r="J10" i="25"/>
  <c r="J25" i="25" s="1"/>
  <c r="I25" i="25"/>
  <c r="H25" i="25"/>
  <c r="K9" i="25"/>
  <c r="K24" i="25" s="1"/>
  <c r="J9" i="25"/>
  <c r="J24" i="25" s="1"/>
  <c r="I24" i="25"/>
  <c r="H24" i="25"/>
  <c r="D9" i="25"/>
  <c r="D24" i="25" s="1"/>
  <c r="K8" i="25"/>
  <c r="K23" i="25" s="1"/>
  <c r="J8" i="25"/>
  <c r="J23" i="25" s="1"/>
  <c r="I23" i="25"/>
  <c r="H23" i="25"/>
  <c r="D8" i="25"/>
  <c r="D23" i="25" s="1"/>
  <c r="K7" i="25"/>
  <c r="K22" i="25" s="1"/>
  <c r="J7" i="25"/>
  <c r="J22" i="25" s="1"/>
  <c r="D7" i="25"/>
  <c r="D22" i="25" s="1"/>
  <c r="K6" i="25"/>
  <c r="K21" i="25" s="1"/>
  <c r="J6" i="25"/>
  <c r="J21" i="25" s="1"/>
  <c r="D6" i="25"/>
  <c r="D21" i="25" s="1"/>
  <c r="K5" i="25"/>
  <c r="K20" i="25" s="1"/>
  <c r="J5" i="25"/>
  <c r="J20" i="25" s="1"/>
  <c r="D5" i="25"/>
  <c r="D20" i="25" s="1"/>
  <c r="K4" i="25"/>
  <c r="K19" i="25" s="1"/>
  <c r="J4" i="25"/>
  <c r="J19" i="25" s="1"/>
  <c r="D4" i="25"/>
  <c r="D19" i="25" s="1"/>
  <c r="J12" i="24"/>
  <c r="J27" i="24" s="1"/>
  <c r="J11" i="24"/>
  <c r="J26" i="24" s="1"/>
  <c r="I11" i="24"/>
  <c r="I26" i="24" s="1"/>
  <c r="H26" i="24"/>
  <c r="G26" i="24"/>
  <c r="J10" i="24"/>
  <c r="J25" i="24" s="1"/>
  <c r="I10" i="24"/>
  <c r="I25" i="24" s="1"/>
  <c r="H25" i="24"/>
  <c r="G25" i="24"/>
  <c r="J9" i="24"/>
  <c r="J24" i="24" s="1"/>
  <c r="I9" i="24"/>
  <c r="I24" i="24" s="1"/>
  <c r="H24" i="24"/>
  <c r="G24" i="24"/>
  <c r="J8" i="24"/>
  <c r="J23" i="24" s="1"/>
  <c r="I8" i="24"/>
  <c r="I23" i="24" s="1"/>
  <c r="H23" i="24"/>
  <c r="G23" i="24"/>
  <c r="J7" i="24"/>
  <c r="J22" i="24" s="1"/>
  <c r="I7" i="24"/>
  <c r="I22" i="24" s="1"/>
  <c r="J6" i="24"/>
  <c r="J21" i="24" s="1"/>
  <c r="I6" i="24"/>
  <c r="I21" i="24" s="1"/>
  <c r="J5" i="24"/>
  <c r="J20" i="24" s="1"/>
  <c r="I5" i="24"/>
  <c r="I20" i="24" s="1"/>
  <c r="J4" i="24"/>
  <c r="J19" i="24" s="1"/>
  <c r="I4" i="24"/>
  <c r="I19" i="24" s="1"/>
  <c r="C12" i="24"/>
  <c r="C27" i="24" s="1"/>
  <c r="C11" i="24"/>
  <c r="C26" i="24" s="1"/>
  <c r="C9" i="24"/>
  <c r="C24" i="24" s="1"/>
  <c r="C8" i="24"/>
  <c r="C23" i="24" s="1"/>
  <c r="C7" i="24"/>
  <c r="C22" i="24" s="1"/>
  <c r="C6" i="24"/>
  <c r="C21" i="24" s="1"/>
  <c r="C5" i="24"/>
  <c r="C20" i="24" s="1"/>
  <c r="C4" i="24"/>
  <c r="C19" i="24" s="1"/>
  <c r="K22" i="23"/>
  <c r="K37" i="25" s="1"/>
  <c r="K21" i="23"/>
  <c r="K36" i="25" s="1"/>
  <c r="K20" i="23"/>
  <c r="K35" i="25" s="1"/>
  <c r="K19" i="23"/>
  <c r="J22" i="23"/>
  <c r="J37" i="25" s="1"/>
  <c r="J21" i="23"/>
  <c r="J36" i="25" s="1"/>
  <c r="J20" i="23"/>
  <c r="J35" i="25" s="1"/>
  <c r="J19" i="23"/>
  <c r="J34" i="25" s="1"/>
  <c r="I37" i="25"/>
  <c r="I36" i="25"/>
  <c r="I35" i="25"/>
  <c r="I34" i="25"/>
  <c r="H37" i="25"/>
  <c r="H34" i="25"/>
  <c r="D22" i="23"/>
  <c r="D37" i="25" s="1"/>
  <c r="D21" i="23"/>
  <c r="D20" i="23"/>
  <c r="D19" i="23"/>
  <c r="D34" i="25" s="1"/>
  <c r="K12" i="23"/>
  <c r="K11" i="23"/>
  <c r="K10" i="23"/>
  <c r="K9" i="23"/>
  <c r="K8" i="23"/>
  <c r="K7" i="23"/>
  <c r="K6" i="23"/>
  <c r="K5" i="23"/>
  <c r="K4" i="23"/>
  <c r="D12" i="23"/>
  <c r="J11" i="23"/>
  <c r="J10" i="23"/>
  <c r="J9" i="23"/>
  <c r="J8" i="23"/>
  <c r="J7" i="23"/>
  <c r="J6" i="23"/>
  <c r="J5" i="23"/>
  <c r="J4" i="23"/>
  <c r="D9" i="23"/>
  <c r="D8" i="23"/>
  <c r="D7" i="23"/>
  <c r="D6" i="23"/>
  <c r="D5" i="23"/>
  <c r="D4" i="23"/>
  <c r="D11" i="23"/>
  <c r="A12" i="23"/>
  <c r="A11" i="23"/>
  <c r="A10" i="23"/>
  <c r="A9" i="23"/>
  <c r="A8" i="23"/>
  <c r="A7" i="23"/>
  <c r="A6" i="23"/>
  <c r="A5" i="23"/>
  <c r="A4" i="23"/>
  <c r="A21" i="24" l="1"/>
  <c r="A20" i="24"/>
  <c r="A19" i="24"/>
  <c r="A22" i="24"/>
  <c r="A24" i="25"/>
  <c r="A25" i="25"/>
  <c r="A34" i="25"/>
  <c r="A35" i="25"/>
  <c r="A36" i="25"/>
  <c r="A22" i="23"/>
  <c r="A21" i="23"/>
  <c r="A20" i="23"/>
  <c r="F19" i="29" l="1"/>
  <c r="F18" i="29"/>
  <c r="E19" i="29"/>
  <c r="E18" i="29"/>
  <c r="D19" i="29"/>
  <c r="D18" i="29"/>
  <c r="M11" i="29"/>
  <c r="M8" i="29"/>
  <c r="E8" i="29"/>
  <c r="M7" i="29"/>
  <c r="M10" i="29"/>
  <c r="G21" i="23" s="1"/>
  <c r="G36" i="25" s="1"/>
  <c r="M5" i="29"/>
  <c r="M9" i="29"/>
  <c r="G35" i="25" s="1"/>
  <c r="M4" i="29"/>
  <c r="M3" i="29"/>
  <c r="M2" i="29"/>
  <c r="M6" i="29"/>
  <c r="G34" i="25" l="1"/>
  <c r="G11" i="23"/>
  <c r="F9" i="24"/>
  <c r="F24" i="24" s="1"/>
  <c r="G22" i="23"/>
  <c r="G37" i="25" s="1"/>
  <c r="G11" i="25"/>
  <c r="G26" i="25" s="1"/>
  <c r="G9" i="25"/>
  <c r="G24" i="25" s="1"/>
  <c r="F11" i="24"/>
  <c r="F26" i="24" s="1"/>
  <c r="G9" i="23"/>
  <c r="G8" i="25"/>
  <c r="G23" i="25" s="1"/>
  <c r="F8" i="24"/>
  <c r="F23" i="24" s="1"/>
  <c r="G8" i="23"/>
  <c r="D10" i="23"/>
  <c r="C10" i="24"/>
  <c r="C25" i="24" s="1"/>
  <c r="D10" i="25"/>
  <c r="D25" i="25" s="1"/>
  <c r="F10" i="24"/>
  <c r="F25" i="24" s="1"/>
  <c r="G10" i="23"/>
  <c r="G10" i="25"/>
  <c r="G25" i="25" s="1"/>
  <c r="O16" i="13" l="1"/>
  <c r="P16" i="13"/>
  <c r="P21" i="13"/>
  <c r="P20" i="13"/>
  <c r="P19" i="13"/>
  <c r="P18" i="13"/>
  <c r="P17" i="13"/>
  <c r="O21" i="13"/>
  <c r="O20" i="13"/>
  <c r="O19" i="13"/>
  <c r="O18" i="13"/>
  <c r="O17" i="13"/>
  <c r="B304" i="13"/>
  <c r="B303" i="13"/>
  <c r="B302" i="13"/>
  <c r="B301" i="13"/>
  <c r="B300" i="13"/>
  <c r="B289" i="13"/>
  <c r="B288" i="13"/>
  <c r="B287" i="13"/>
  <c r="B256" i="13"/>
  <c r="B255" i="13"/>
  <c r="B254" i="13"/>
  <c r="B253" i="13"/>
  <c r="B252" i="13"/>
  <c r="B251" i="13"/>
  <c r="B250" i="13"/>
  <c r="B214" i="13"/>
  <c r="B213" i="13"/>
  <c r="B212" i="13"/>
  <c r="B211" i="13"/>
  <c r="B210" i="13"/>
  <c r="B209" i="13"/>
  <c r="B208" i="13"/>
  <c r="B166" i="13"/>
  <c r="B165" i="13"/>
  <c r="B164" i="13"/>
  <c r="B163" i="13"/>
  <c r="B141" i="13"/>
  <c r="B140" i="13"/>
  <c r="B139" i="13"/>
  <c r="B117" i="13"/>
  <c r="B116" i="13"/>
  <c r="B110" i="13"/>
  <c r="B109" i="13"/>
  <c r="B108" i="13"/>
  <c r="B107" i="13"/>
  <c r="B106" i="13"/>
  <c r="B95" i="13"/>
  <c r="B94" i="13"/>
  <c r="B93" i="13"/>
  <c r="B92" i="13"/>
  <c r="B91" i="13"/>
  <c r="B90" i="13"/>
  <c r="B299" i="13"/>
  <c r="B298" i="13"/>
  <c r="B286" i="13"/>
  <c r="B285" i="13"/>
  <c r="B284" i="13"/>
  <c r="B283" i="13"/>
  <c r="B282" i="13"/>
  <c r="B281" i="13"/>
  <c r="B249" i="13"/>
  <c r="B248" i="13"/>
  <c r="B247" i="13"/>
  <c r="B246" i="13"/>
  <c r="B245" i="13"/>
  <c r="B244" i="13"/>
  <c r="B243" i="13"/>
  <c r="B207" i="13"/>
  <c r="B206" i="13"/>
  <c r="B205" i="13"/>
  <c r="B204" i="13"/>
  <c r="B203" i="13"/>
  <c r="B202" i="13"/>
  <c r="B201" i="13"/>
  <c r="B200" i="13"/>
  <c r="B199" i="13"/>
  <c r="B162" i="13"/>
  <c r="B161" i="13"/>
  <c r="B160" i="13"/>
  <c r="B159" i="13"/>
  <c r="B158" i="13"/>
  <c r="B138" i="13"/>
  <c r="B137" i="13"/>
  <c r="B136" i="13"/>
  <c r="B135" i="13"/>
  <c r="B134" i="13"/>
  <c r="B133" i="13"/>
  <c r="B115" i="13"/>
  <c r="B105" i="13"/>
  <c r="B104" i="13"/>
  <c r="B89" i="13"/>
  <c r="B88" i="13"/>
  <c r="B87" i="13"/>
  <c r="B86" i="13"/>
  <c r="B297" i="13"/>
  <c r="B296" i="13"/>
  <c r="B280" i="13"/>
  <c r="B279" i="13"/>
  <c r="B278" i="13"/>
  <c r="B277" i="13"/>
  <c r="B276" i="13"/>
  <c r="B275" i="13"/>
  <c r="B242" i="13"/>
  <c r="B241" i="13"/>
  <c r="B240" i="13"/>
  <c r="B239" i="13"/>
  <c r="B238" i="13"/>
  <c r="B237" i="13"/>
  <c r="B236" i="13"/>
  <c r="B198" i="13"/>
  <c r="B197" i="13"/>
  <c r="B196" i="13"/>
  <c r="B195" i="13"/>
  <c r="B194" i="13"/>
  <c r="B193" i="13"/>
  <c r="B192" i="13"/>
  <c r="B191" i="13"/>
  <c r="B157" i="13"/>
  <c r="B156" i="13"/>
  <c r="B155" i="13"/>
  <c r="B154" i="13"/>
  <c r="B153" i="13"/>
  <c r="B132" i="13"/>
  <c r="B131" i="13"/>
  <c r="B130" i="13"/>
  <c r="B129" i="13"/>
  <c r="B128" i="13"/>
  <c r="B127" i="13"/>
  <c r="B114" i="13"/>
  <c r="B103" i="13"/>
  <c r="B102" i="13"/>
  <c r="B101" i="13"/>
  <c r="B85" i="13"/>
  <c r="B84" i="13"/>
  <c r="B83" i="13"/>
  <c r="B82" i="13"/>
  <c r="B81" i="13"/>
  <c r="B80" i="13"/>
  <c r="B79" i="13"/>
  <c r="B78" i="13"/>
  <c r="B295" i="13"/>
  <c r="B294" i="13"/>
  <c r="B274" i="13"/>
  <c r="B273" i="13"/>
  <c r="B272" i="13"/>
  <c r="B271" i="13"/>
  <c r="B270" i="13"/>
  <c r="B269" i="13"/>
  <c r="B235" i="13"/>
  <c r="B234" i="13"/>
  <c r="B233" i="13"/>
  <c r="B232" i="13"/>
  <c r="B231" i="13"/>
  <c r="B230" i="13"/>
  <c r="B229" i="13"/>
  <c r="B190" i="13"/>
  <c r="B189" i="13"/>
  <c r="B188" i="13"/>
  <c r="B187" i="13"/>
  <c r="B186" i="13"/>
  <c r="B185" i="13"/>
  <c r="B184" i="13"/>
  <c r="B183" i="13"/>
  <c r="B152" i="13"/>
  <c r="B151" i="13"/>
  <c r="B150" i="13"/>
  <c r="B149" i="13"/>
  <c r="B148" i="13"/>
  <c r="B147" i="13"/>
  <c r="B126" i="13"/>
  <c r="B125" i="13"/>
  <c r="B124" i="13"/>
  <c r="B123" i="13"/>
  <c r="B113" i="13"/>
  <c r="B100" i="13"/>
  <c r="B77" i="13"/>
  <c r="B76" i="13"/>
  <c r="B75" i="13"/>
  <c r="B74" i="13"/>
  <c r="B293" i="13"/>
  <c r="B292" i="13"/>
  <c r="B268" i="13"/>
  <c r="B267" i="13"/>
  <c r="B266" i="13"/>
  <c r="B265" i="13"/>
  <c r="B264" i="13"/>
  <c r="B263" i="13"/>
  <c r="B228" i="13"/>
  <c r="B227" i="13"/>
  <c r="B226" i="13"/>
  <c r="B225" i="13"/>
  <c r="B224" i="13"/>
  <c r="B223" i="13"/>
  <c r="B222" i="13"/>
  <c r="B182" i="13"/>
  <c r="B181" i="13"/>
  <c r="B180" i="13"/>
  <c r="B179" i="13"/>
  <c r="B178" i="13"/>
  <c r="B177" i="13"/>
  <c r="B176" i="13"/>
  <c r="B175" i="13"/>
  <c r="B146" i="13"/>
  <c r="B145" i="13"/>
  <c r="B144" i="13"/>
  <c r="B122" i="13"/>
  <c r="B121" i="13"/>
  <c r="B120" i="13"/>
  <c r="B112" i="13"/>
  <c r="B99" i="13"/>
  <c r="B98" i="13"/>
  <c r="B97" i="13"/>
  <c r="B73" i="13"/>
  <c r="B72" i="13"/>
  <c r="B71" i="13"/>
  <c r="B291" i="13"/>
  <c r="B290" i="13"/>
  <c r="B262" i="13"/>
  <c r="B261" i="13"/>
  <c r="B260" i="13"/>
  <c r="B259" i="13"/>
  <c r="B258" i="13"/>
  <c r="B257" i="13"/>
  <c r="B221" i="13"/>
  <c r="B220" i="13"/>
  <c r="B219" i="13"/>
  <c r="B218" i="13"/>
  <c r="B217" i="13"/>
  <c r="B216" i="13"/>
  <c r="B215" i="13"/>
  <c r="B174" i="13"/>
  <c r="B173" i="13"/>
  <c r="B172" i="13"/>
  <c r="B171" i="13"/>
  <c r="B170" i="13"/>
  <c r="B169" i="13"/>
  <c r="B168" i="13"/>
  <c r="B167" i="13"/>
  <c r="B143" i="13"/>
  <c r="B142" i="13"/>
  <c r="B119" i="13"/>
  <c r="B118" i="13"/>
  <c r="B111" i="13"/>
  <c r="B96" i="13"/>
  <c r="B70" i="13"/>
  <c r="B66" i="13"/>
  <c r="B65" i="13"/>
  <c r="B64" i="13"/>
  <c r="B63" i="13"/>
  <c r="B62" i="13"/>
  <c r="B61" i="13"/>
  <c r="B59" i="13"/>
  <c r="B58" i="13"/>
  <c r="B57" i="13"/>
  <c r="B56" i="13"/>
  <c r="B55" i="13"/>
  <c r="B54" i="13"/>
  <c r="B52" i="13"/>
  <c r="B51" i="13"/>
  <c r="B50" i="13"/>
  <c r="B49" i="13"/>
  <c r="B48" i="13"/>
  <c r="B47" i="13"/>
  <c r="B45" i="13"/>
  <c r="B44" i="13"/>
  <c r="B43" i="13"/>
  <c r="B42" i="13"/>
  <c r="B41" i="13"/>
  <c r="B40" i="13"/>
  <c r="B38" i="13"/>
  <c r="B37" i="13"/>
  <c r="B36" i="13"/>
  <c r="B35" i="13"/>
  <c r="B34" i="13"/>
  <c r="B33" i="13"/>
  <c r="B31" i="13"/>
  <c r="B30" i="13"/>
  <c r="B29" i="13"/>
  <c r="B28" i="13"/>
  <c r="B27" i="13"/>
  <c r="B26" i="13"/>
  <c r="B24" i="13"/>
  <c r="B23" i="13"/>
  <c r="B22" i="13"/>
  <c r="B21" i="13"/>
  <c r="B20" i="13"/>
  <c r="B19" i="13"/>
  <c r="B17" i="13"/>
  <c r="B16" i="13"/>
  <c r="B15" i="13"/>
  <c r="B14" i="13"/>
  <c r="B13" i="13"/>
  <c r="B12" i="13"/>
  <c r="B10" i="13"/>
  <c r="B9" i="13"/>
  <c r="B8" i="13"/>
  <c r="B7" i="13"/>
  <c r="B6" i="13"/>
  <c r="B5" i="13"/>
  <c r="I304" i="13"/>
  <c r="I303" i="13"/>
  <c r="I302" i="13"/>
  <c r="I301" i="13"/>
  <c r="I300" i="13"/>
  <c r="I299" i="13"/>
  <c r="I298" i="13"/>
  <c r="I297" i="13"/>
  <c r="I296" i="13"/>
  <c r="I295" i="13"/>
  <c r="I294" i="13"/>
  <c r="I293" i="13"/>
  <c r="I292" i="13"/>
  <c r="I291" i="13"/>
  <c r="I290" i="13"/>
  <c r="I289" i="13"/>
  <c r="I288" i="13"/>
  <c r="I287" i="13"/>
  <c r="I286" i="13"/>
  <c r="I285" i="13"/>
  <c r="I284" i="13"/>
  <c r="I283" i="13"/>
  <c r="I282" i="13"/>
  <c r="I281" i="13"/>
  <c r="I280" i="13"/>
  <c r="I279" i="13"/>
  <c r="I278" i="13"/>
  <c r="I277" i="13"/>
  <c r="I276" i="13"/>
  <c r="I275" i="13"/>
  <c r="I274" i="13"/>
  <c r="I273" i="13"/>
  <c r="I272" i="13"/>
  <c r="I271" i="13"/>
  <c r="I270" i="13"/>
  <c r="I269" i="13"/>
  <c r="I268" i="13"/>
  <c r="I267" i="13"/>
  <c r="I266" i="13"/>
  <c r="I265" i="13"/>
  <c r="I264" i="13"/>
  <c r="I263" i="13"/>
  <c r="I262" i="13"/>
  <c r="I261" i="13"/>
  <c r="I260" i="13"/>
  <c r="I259" i="13"/>
  <c r="I258" i="13"/>
  <c r="I257" i="13"/>
  <c r="I256" i="13"/>
  <c r="I255" i="13"/>
  <c r="I254" i="13"/>
  <c r="I253" i="13"/>
  <c r="I252" i="13"/>
  <c r="I251" i="13"/>
  <c r="I250" i="13"/>
  <c r="I249" i="13"/>
  <c r="I248" i="13"/>
  <c r="I247" i="13"/>
  <c r="I246" i="13"/>
  <c r="I245" i="13"/>
  <c r="I244" i="13"/>
  <c r="I243" i="13"/>
  <c r="I242" i="13"/>
  <c r="I241" i="13"/>
  <c r="I240" i="13"/>
  <c r="I239" i="13"/>
  <c r="I238" i="13"/>
  <c r="I237" i="13"/>
  <c r="I236" i="13"/>
  <c r="I235" i="13"/>
  <c r="I234" i="13"/>
  <c r="I233" i="13"/>
  <c r="I232" i="13"/>
  <c r="I231" i="13"/>
  <c r="I230" i="13"/>
  <c r="I229" i="13"/>
  <c r="I228" i="13"/>
  <c r="I227" i="13"/>
  <c r="I226" i="13"/>
  <c r="I225" i="13"/>
  <c r="I224" i="13"/>
  <c r="I223" i="13"/>
  <c r="I222" i="13"/>
  <c r="I221" i="13"/>
  <c r="I220" i="13"/>
  <c r="I219" i="13"/>
  <c r="I218" i="13"/>
  <c r="I217" i="13"/>
  <c r="I216" i="13"/>
  <c r="I215" i="13"/>
  <c r="I214" i="13"/>
  <c r="I213" i="13"/>
  <c r="I212" i="13"/>
  <c r="I211" i="13"/>
  <c r="I210" i="13"/>
  <c r="I209" i="13"/>
  <c r="I208" i="13"/>
  <c r="I207" i="13"/>
  <c r="I206" i="13"/>
  <c r="I205" i="13"/>
  <c r="I204" i="13"/>
  <c r="I203" i="13"/>
  <c r="I202" i="13"/>
  <c r="I201" i="13"/>
  <c r="I200" i="13"/>
  <c r="I199" i="13"/>
  <c r="I198" i="13"/>
  <c r="I197" i="13"/>
  <c r="I196" i="13"/>
  <c r="I195" i="13"/>
  <c r="I194" i="13"/>
  <c r="I193" i="13"/>
  <c r="I192" i="13"/>
  <c r="I191" i="13"/>
  <c r="I190" i="13"/>
  <c r="I189" i="13"/>
  <c r="I188" i="13"/>
  <c r="I187" i="13"/>
  <c r="I186" i="13"/>
  <c r="I185" i="13"/>
  <c r="I184" i="13"/>
  <c r="I183" i="13"/>
  <c r="I182" i="13"/>
  <c r="I181" i="13"/>
  <c r="I180" i="13"/>
  <c r="I179" i="13"/>
  <c r="I178" i="13"/>
  <c r="I177" i="13"/>
  <c r="I176" i="13"/>
  <c r="I175" i="13"/>
  <c r="I174" i="13"/>
  <c r="I173" i="13"/>
  <c r="I172" i="13"/>
  <c r="I171" i="13"/>
  <c r="I170" i="13"/>
  <c r="I169" i="13"/>
  <c r="I168" i="13"/>
  <c r="I167" i="13"/>
  <c r="I166" i="13"/>
  <c r="I165" i="13"/>
  <c r="I164" i="13"/>
  <c r="I163" i="13"/>
  <c r="I162" i="13"/>
  <c r="I161" i="13"/>
  <c r="I160" i="13"/>
  <c r="I159" i="13"/>
  <c r="I158" i="13"/>
  <c r="I157" i="13"/>
  <c r="I156" i="13"/>
  <c r="I155" i="13"/>
  <c r="I154" i="13"/>
  <c r="I153" i="13"/>
  <c r="I152" i="13"/>
  <c r="I151" i="13"/>
  <c r="I150" i="13"/>
  <c r="I149" i="13"/>
  <c r="I148" i="13"/>
  <c r="I147" i="13"/>
  <c r="I146" i="13"/>
  <c r="I145" i="13"/>
  <c r="I144" i="13"/>
  <c r="I143" i="13"/>
  <c r="I142" i="13"/>
  <c r="I141" i="13"/>
  <c r="I140" i="13"/>
  <c r="I139" i="13"/>
  <c r="I138" i="13"/>
  <c r="I137" i="13"/>
  <c r="I136" i="13"/>
  <c r="I135" i="13"/>
  <c r="I134" i="13"/>
  <c r="I133" i="13"/>
  <c r="I132" i="13"/>
  <c r="I131" i="13"/>
  <c r="I130" i="13"/>
  <c r="I129" i="13"/>
  <c r="I128" i="13"/>
  <c r="I127" i="13"/>
  <c r="I126" i="13"/>
  <c r="I125" i="13"/>
  <c r="I124" i="13"/>
  <c r="I123" i="13"/>
  <c r="I122" i="13"/>
  <c r="I121" i="13"/>
  <c r="I120" i="13"/>
  <c r="I119" i="13"/>
  <c r="I118" i="13"/>
  <c r="I117" i="13"/>
  <c r="I116" i="13"/>
  <c r="I115" i="13"/>
  <c r="I114" i="13"/>
  <c r="I113" i="13"/>
  <c r="I112" i="13"/>
  <c r="I111" i="13"/>
  <c r="I110" i="13"/>
  <c r="I109" i="13"/>
  <c r="I108" i="13"/>
  <c r="I107" i="13"/>
  <c r="I106" i="13"/>
  <c r="I105" i="13"/>
  <c r="I104" i="13"/>
  <c r="I103" i="13"/>
  <c r="I102" i="13"/>
  <c r="I101" i="13"/>
  <c r="I100" i="13"/>
  <c r="I99" i="13"/>
  <c r="I98" i="13"/>
  <c r="I97" i="13"/>
  <c r="I96" i="13"/>
  <c r="I95" i="13"/>
  <c r="I94" i="13"/>
  <c r="I93" i="13"/>
  <c r="I92" i="13"/>
  <c r="I91" i="13"/>
  <c r="I90" i="13"/>
  <c r="I89" i="13"/>
  <c r="I88" i="13"/>
  <c r="I87" i="13"/>
  <c r="I86" i="13"/>
  <c r="I85" i="13"/>
  <c r="I84" i="13"/>
  <c r="I83" i="13"/>
  <c r="I82" i="13"/>
  <c r="I81" i="13"/>
  <c r="I80" i="13"/>
  <c r="I79" i="13"/>
  <c r="I78" i="13"/>
  <c r="I77" i="13"/>
  <c r="I76" i="13"/>
  <c r="I75" i="13"/>
  <c r="I74" i="13"/>
  <c r="I73" i="13"/>
  <c r="I72" i="13"/>
  <c r="I71" i="13"/>
  <c r="I70" i="13"/>
  <c r="L73" i="10"/>
  <c r="L67" i="10"/>
  <c r="L66" i="10"/>
  <c r="K66" i="10" s="1"/>
  <c r="T81" i="10"/>
  <c r="T75" i="10"/>
  <c r="T69" i="10"/>
  <c r="T62" i="10"/>
  <c r="T54" i="10"/>
  <c r="T46" i="10"/>
  <c r="G92" i="10"/>
  <c r="K81" i="10"/>
  <c r="K6" i="1"/>
  <c r="J6" i="1" s="1"/>
  <c r="K40" i="5"/>
  <c r="K35" i="5"/>
  <c r="J35" i="5" s="1"/>
  <c r="K30" i="5"/>
  <c r="J30" i="5" s="1"/>
  <c r="H29" i="5"/>
  <c r="K28" i="5"/>
  <c r="K24" i="5"/>
  <c r="H23" i="5"/>
  <c r="K22" i="5"/>
  <c r="J22" i="5" s="1"/>
  <c r="K18" i="5"/>
  <c r="J18" i="5" s="1"/>
  <c r="H17" i="5"/>
  <c r="K16" i="5"/>
  <c r="K12" i="5"/>
  <c r="J12" i="5" s="1"/>
  <c r="H11" i="5"/>
  <c r="K10" i="5"/>
  <c r="J10" i="5" s="1"/>
  <c r="K6" i="5"/>
  <c r="J6" i="5" s="1"/>
  <c r="H5" i="5"/>
  <c r="K4" i="5"/>
  <c r="J4" i="5" s="1"/>
  <c r="F41" i="5"/>
  <c r="K78" i="10"/>
  <c r="L72" i="10"/>
  <c r="K72" i="10" s="1"/>
  <c r="L58" i="10"/>
  <c r="K58" i="10" s="1"/>
  <c r="L50" i="10"/>
  <c r="K50" i="10" s="1"/>
  <c r="I39" i="16"/>
  <c r="I37" i="16"/>
  <c r="I36" i="16"/>
  <c r="I35" i="16"/>
  <c r="I38" i="16"/>
  <c r="I111" i="16"/>
  <c r="P67" i="10" a="1"/>
  <c r="P79" i="10" a="1"/>
  <c r="P73" i="10" a="1"/>
  <c r="P73" i="10" l="1"/>
  <c r="G73" i="10" s="1" a="1"/>
  <c r="G73" i="10" s="1"/>
  <c r="P79" i="10"/>
  <c r="G79" i="10" s="1" a="1"/>
  <c r="G79" i="10" s="1"/>
  <c r="P67" i="10"/>
  <c r="G67" i="10" s="1" a="1"/>
  <c r="G67" i="10" s="1"/>
  <c r="N21" i="13"/>
  <c r="F13" i="12" s="1"/>
  <c r="N20" i="13"/>
  <c r="F12" i="12" s="1"/>
  <c r="N16" i="13"/>
  <c r="F8" i="12" s="1"/>
  <c r="N17" i="13"/>
  <c r="F9" i="12" s="1"/>
  <c r="N18" i="13"/>
  <c r="F10" i="12" s="1"/>
  <c r="N19" i="13"/>
  <c r="F11" i="12" s="1"/>
  <c r="L17" i="13"/>
  <c r="K20" i="13"/>
  <c r="M19" i="13"/>
  <c r="M17" i="13"/>
  <c r="L20" i="13"/>
  <c r="M20" i="13"/>
  <c r="L18" i="13"/>
  <c r="K21" i="13"/>
  <c r="M18" i="13"/>
  <c r="L21" i="13"/>
  <c r="K19" i="13"/>
  <c r="M21" i="13"/>
  <c r="L19" i="13"/>
  <c r="K17" i="13"/>
  <c r="M16" i="13"/>
  <c r="L16" i="13"/>
  <c r="K16" i="13"/>
  <c r="J28" i="5"/>
  <c r="J16" i="5"/>
  <c r="J24" i="5"/>
  <c r="L34" i="10" l="1"/>
  <c r="L26" i="10"/>
  <c r="L38" i="10"/>
  <c r="L36" i="10"/>
  <c r="C37" i="25"/>
  <c r="C36" i="25"/>
  <c r="C35" i="25"/>
  <c r="C34" i="25"/>
  <c r="C26" i="25"/>
  <c r="C25" i="25"/>
  <c r="C24" i="25"/>
  <c r="C23" i="25"/>
  <c r="C22" i="25"/>
  <c r="C21" i="25"/>
  <c r="C20" i="25"/>
  <c r="C19" i="25"/>
  <c r="C11" i="25"/>
  <c r="C10" i="25"/>
  <c r="C9" i="25"/>
  <c r="C8" i="25"/>
  <c r="C7" i="25"/>
  <c r="C6" i="25"/>
  <c r="C5" i="25"/>
  <c r="C4" i="25"/>
  <c r="C22" i="23"/>
  <c r="C21" i="23"/>
  <c r="C20" i="23"/>
  <c r="C19" i="23"/>
  <c r="C11" i="23"/>
  <c r="C10" i="23"/>
  <c r="C9" i="23"/>
  <c r="C8" i="23"/>
  <c r="C7" i="23"/>
  <c r="C6" i="23"/>
  <c r="C5" i="23"/>
  <c r="C4" i="23"/>
  <c r="C121" i="20"/>
  <c r="P34" i="10" a="1"/>
  <c r="P36" i="10" a="1"/>
  <c r="P26" i="10" a="1"/>
  <c r="P38" i="10" a="1"/>
  <c r="P38" i="10" l="1"/>
  <c r="G38" i="10" s="1" a="1"/>
  <c r="G38" i="10" s="1"/>
  <c r="P26" i="10"/>
  <c r="G26" i="10" s="1" a="1"/>
  <c r="G26" i="10" s="1"/>
  <c r="P34" i="10"/>
  <c r="G34" i="10" s="1" a="1"/>
  <c r="G34" i="10" s="1"/>
  <c r="K38" i="10"/>
  <c r="K26" i="10"/>
  <c r="K34" i="10"/>
  <c r="P36" i="10"/>
  <c r="G36" i="10" s="1" a="1"/>
  <c r="G36" i="10" s="1"/>
  <c r="K36" i="10"/>
  <c r="F7" i="25"/>
  <c r="F22" i="25" s="1"/>
  <c r="F6" i="25"/>
  <c r="F21" i="25" s="1"/>
  <c r="F8" i="25"/>
  <c r="F23" i="25" s="1"/>
  <c r="F5" i="25"/>
  <c r="F20" i="25" s="1"/>
  <c r="F4" i="25"/>
  <c r="F19" i="25" s="1"/>
  <c r="F10" i="25"/>
  <c r="F25" i="25" s="1"/>
  <c r="F9" i="25"/>
  <c r="F21" i="23"/>
  <c r="F36" i="25" s="1"/>
  <c r="E6" i="24"/>
  <c r="E21" i="24" s="1"/>
  <c r="E8" i="24"/>
  <c r="E23" i="24" s="1"/>
  <c r="E9" i="24"/>
  <c r="E10" i="24"/>
  <c r="E25" i="24" s="1"/>
  <c r="F8" i="23"/>
  <c r="E7" i="24"/>
  <c r="E22" i="24" s="1"/>
  <c r="F5" i="23"/>
  <c r="F6" i="23"/>
  <c r="E4" i="24"/>
  <c r="E19" i="24" s="1"/>
  <c r="F7" i="23"/>
  <c r="F19" i="23" s="1"/>
  <c r="F34" i="25" s="1"/>
  <c r="E5" i="24"/>
  <c r="E20" i="24" s="1"/>
  <c r="F10" i="23"/>
  <c r="F4" i="23"/>
  <c r="F20" i="23"/>
  <c r="F35" i="25" s="1"/>
  <c r="F9" i="23"/>
  <c r="F11" i="23" s="1"/>
  <c r="F22" i="23" s="1"/>
  <c r="F37" i="25" s="1"/>
  <c r="G110" i="20"/>
  <c r="F11" i="25" l="1"/>
  <c r="F26" i="25" s="1"/>
  <c r="F24" i="25"/>
  <c r="E11" i="24"/>
  <c r="E26" i="24" s="1"/>
  <c r="E24" i="24"/>
  <c r="C7" i="18" l="1"/>
  <c r="C6" i="18"/>
  <c r="C2" i="18"/>
  <c r="C5" i="18"/>
  <c r="J4" i="11" l="1"/>
  <c r="C10" i="11"/>
  <c r="K4" i="11"/>
  <c r="R4" i="11"/>
  <c r="J5" i="11"/>
  <c r="N5" i="11" a="1"/>
  <c r="G5" i="11" l="1"/>
  <c r="H5" i="11" s="1"/>
  <c r="H4" i="11"/>
  <c r="L4" i="11" s="1"/>
  <c r="N5" i="11"/>
  <c r="E5" i="11" s="1" a="1"/>
  <c r="E5" i="11" s="1"/>
  <c r="I6" i="11"/>
  <c r="I5" i="11"/>
  <c r="I4" i="11"/>
  <c r="Z28" i="16" l="1"/>
  <c r="N4" i="11" a="1"/>
  <c r="N4" i="11" l="1"/>
  <c r="E4" i="11" s="1" a="1"/>
  <c r="E4" i="11" s="1"/>
  <c r="Z15" i="16"/>
  <c r="Z14" i="16"/>
  <c r="Z11" i="16"/>
  <c r="Z10" i="16"/>
  <c r="Z9" i="16"/>
  <c r="Z8" i="16"/>
  <c r="Z7" i="16"/>
  <c r="Z6" i="16"/>
  <c r="L60" i="10" l="1"/>
  <c r="L52" i="10"/>
  <c r="U60" i="10"/>
  <c r="U52" i="10"/>
  <c r="U44" i="10"/>
  <c r="L44" i="10"/>
  <c r="K73" i="10"/>
  <c r="K6" i="8"/>
  <c r="H11" i="15"/>
  <c r="H10" i="15"/>
  <c r="H9" i="15"/>
  <c r="I11" i="15"/>
  <c r="I10" i="15"/>
  <c r="I9" i="15"/>
  <c r="H3" i="15"/>
  <c r="I3" i="15"/>
  <c r="J3" i="15" s="1" a="1"/>
  <c r="J3" i="15" s="1"/>
  <c r="J13" i="15" s="1"/>
  <c r="P44" i="10" a="1"/>
  <c r="P52" i="10" a="1"/>
  <c r="P60" i="10" a="1"/>
  <c r="P44" i="10" l="1"/>
  <c r="G44" i="10" s="1" a="1"/>
  <c r="G44" i="10" s="1"/>
  <c r="P52" i="10"/>
  <c r="G52" i="10" s="1" a="1"/>
  <c r="G52" i="10" s="1"/>
  <c r="P60" i="10"/>
  <c r="G60" i="10" s="1" a="1"/>
  <c r="G60" i="10" s="1"/>
  <c r="K52" i="10"/>
  <c r="K60" i="10"/>
  <c r="K79" i="10"/>
  <c r="K67" i="10"/>
  <c r="K3" i="15" a="1"/>
  <c r="K3" i="15" s="1"/>
  <c r="K13" i="15" s="1"/>
  <c r="L43" i="10" l="1"/>
  <c r="P43" i="10" a="1"/>
  <c r="K44" i="10" l="1"/>
  <c r="P43" i="10"/>
  <c r="G43" i="10" s="1" a="1"/>
  <c r="G43" i="10" s="1"/>
  <c r="K43" i="10"/>
  <c r="L19" i="10"/>
  <c r="T12" i="10"/>
  <c r="L12" i="10"/>
  <c r="T17" i="10"/>
  <c r="U18" i="10"/>
  <c r="K18" i="10"/>
  <c r="L17" i="10"/>
  <c r="K17" i="10" s="1"/>
  <c r="P72" i="10" a="1"/>
  <c r="P78" i="10" a="1"/>
  <c r="P58" i="10" a="1"/>
  <c r="P12" i="10" a="1"/>
  <c r="P17" i="10" a="1"/>
  <c r="P19" i="10" a="1"/>
  <c r="P50" i="10" a="1"/>
  <c r="P66" i="10" a="1"/>
  <c r="P19" i="10" l="1"/>
  <c r="P78" i="10"/>
  <c r="G78" i="10" s="1" a="1"/>
  <c r="G78" i="10" s="1"/>
  <c r="P72" i="10"/>
  <c r="G72" i="10" s="1" a="1"/>
  <c r="G72" i="10" s="1"/>
  <c r="P66" i="10"/>
  <c r="G66" i="10" s="1" a="1"/>
  <c r="G66" i="10" s="1"/>
  <c r="P58" i="10"/>
  <c r="G58" i="10" s="1" a="1"/>
  <c r="G58" i="10" s="1"/>
  <c r="P50" i="10"/>
  <c r="G50" i="10" s="1" a="1"/>
  <c r="G50" i="10" s="1"/>
  <c r="G42" i="10" a="1"/>
  <c r="G42" i="10" s="1"/>
  <c r="P12" i="10"/>
  <c r="P17" i="10"/>
  <c r="G17" i="10" s="1" a="1"/>
  <c r="G17" i="10" s="1"/>
  <c r="G18" i="10" l="1" a="1"/>
  <c r="G18" i="10" s="1"/>
  <c r="G20" i="10" a="1"/>
  <c r="G20" i="10" s="1"/>
  <c r="G19" i="10" a="1"/>
  <c r="G19" i="10" s="1"/>
  <c r="L11" i="10" l="1"/>
  <c r="L6" i="10"/>
  <c r="L4" i="10"/>
  <c r="L1" i="13"/>
  <c r="J1" i="13"/>
  <c r="F1" i="14"/>
  <c r="I1" i="14" s="1" a="1"/>
  <c r="I1" i="14" s="1"/>
  <c r="B15" i="9" s="1"/>
  <c r="C1" i="14"/>
  <c r="A1" i="14"/>
  <c r="G18" i="14"/>
  <c r="F18" i="14"/>
  <c r="E18" i="14"/>
  <c r="D18" i="14"/>
  <c r="C18" i="14"/>
  <c r="B18" i="14"/>
  <c r="B15" i="14"/>
  <c r="G17" i="14"/>
  <c r="F17" i="14"/>
  <c r="E17" i="14"/>
  <c r="D17" i="14"/>
  <c r="C17" i="14"/>
  <c r="B17" i="14"/>
  <c r="D304" i="13"/>
  <c r="D303" i="13"/>
  <c r="D302" i="13"/>
  <c r="E301" i="13"/>
  <c r="D301" i="13"/>
  <c r="D300" i="13"/>
  <c r="D299" i="13"/>
  <c r="D298" i="13"/>
  <c r="E297" i="13"/>
  <c r="K18" i="13" s="1"/>
  <c r="D297" i="13"/>
  <c r="D296" i="13"/>
  <c r="E295" i="13"/>
  <c r="D295" i="13"/>
  <c r="D294" i="13"/>
  <c r="E293" i="13"/>
  <c r="D293" i="13"/>
  <c r="D292" i="13"/>
  <c r="E291" i="13"/>
  <c r="D291" i="13"/>
  <c r="D290" i="13"/>
  <c r="D289" i="13"/>
  <c r="D288" i="13"/>
  <c r="D287" i="13"/>
  <c r="D286" i="13"/>
  <c r="D285" i="13"/>
  <c r="D284" i="13"/>
  <c r="D283" i="13"/>
  <c r="D282" i="13"/>
  <c r="D281" i="13"/>
  <c r="D280" i="13"/>
  <c r="D279" i="13"/>
  <c r="D278" i="13"/>
  <c r="D277" i="13"/>
  <c r="D276" i="13"/>
  <c r="D275" i="13"/>
  <c r="D274" i="13"/>
  <c r="D273" i="13"/>
  <c r="D272" i="13"/>
  <c r="D271" i="13"/>
  <c r="D270" i="13"/>
  <c r="D269" i="13"/>
  <c r="D268" i="13"/>
  <c r="D267" i="13"/>
  <c r="D266" i="13"/>
  <c r="D265" i="13"/>
  <c r="D264" i="13"/>
  <c r="D263" i="13"/>
  <c r="D262" i="13"/>
  <c r="D261" i="13"/>
  <c r="D260" i="13"/>
  <c r="D259" i="13"/>
  <c r="D258" i="13"/>
  <c r="D257" i="13"/>
  <c r="D256" i="13"/>
  <c r="D255" i="13"/>
  <c r="D254" i="13"/>
  <c r="D253" i="13"/>
  <c r="D252" i="13"/>
  <c r="D251" i="13"/>
  <c r="D250" i="13"/>
  <c r="D249" i="13"/>
  <c r="D248" i="13"/>
  <c r="D247" i="13"/>
  <c r="D246" i="13"/>
  <c r="D245" i="13"/>
  <c r="D244" i="13"/>
  <c r="D243" i="13"/>
  <c r="D242" i="13"/>
  <c r="D241" i="13"/>
  <c r="D240" i="13"/>
  <c r="D239" i="13"/>
  <c r="D238" i="13"/>
  <c r="D237" i="13"/>
  <c r="D236" i="13"/>
  <c r="D235" i="13"/>
  <c r="D234" i="13"/>
  <c r="D233" i="13"/>
  <c r="D232" i="13"/>
  <c r="D231" i="13"/>
  <c r="D230" i="13"/>
  <c r="D229" i="13"/>
  <c r="D228" i="13"/>
  <c r="D227" i="13"/>
  <c r="D226" i="13"/>
  <c r="D225" i="13"/>
  <c r="D224" i="13"/>
  <c r="D223" i="13"/>
  <c r="D222" i="13"/>
  <c r="D221" i="13"/>
  <c r="D220" i="13"/>
  <c r="D219" i="13"/>
  <c r="D218" i="13"/>
  <c r="D217" i="13"/>
  <c r="D216" i="13"/>
  <c r="D215" i="13"/>
  <c r="D214" i="13"/>
  <c r="D213" i="13"/>
  <c r="D212" i="13"/>
  <c r="D211" i="13"/>
  <c r="D210" i="13"/>
  <c r="D209" i="13"/>
  <c r="D208" i="13"/>
  <c r="D207" i="13"/>
  <c r="D206" i="13"/>
  <c r="D205" i="13"/>
  <c r="D204" i="13"/>
  <c r="D203" i="13"/>
  <c r="D202" i="13"/>
  <c r="D201" i="13"/>
  <c r="D200" i="13"/>
  <c r="D199" i="13"/>
  <c r="D198" i="13"/>
  <c r="D197" i="13"/>
  <c r="D196" i="13"/>
  <c r="D195" i="13"/>
  <c r="D194" i="13"/>
  <c r="D193" i="13"/>
  <c r="D192" i="13"/>
  <c r="D191" i="13"/>
  <c r="D190" i="13"/>
  <c r="D189" i="13"/>
  <c r="D188" i="13"/>
  <c r="D187" i="13"/>
  <c r="D186" i="13"/>
  <c r="D185" i="13"/>
  <c r="D184" i="13"/>
  <c r="D183" i="13"/>
  <c r="D182" i="13"/>
  <c r="D181" i="13"/>
  <c r="D180" i="13"/>
  <c r="D179" i="13"/>
  <c r="D178" i="13"/>
  <c r="D177" i="13"/>
  <c r="D176" i="13"/>
  <c r="D175" i="13"/>
  <c r="D174" i="13"/>
  <c r="D173" i="13"/>
  <c r="D172" i="13"/>
  <c r="D171" i="13"/>
  <c r="D170" i="13"/>
  <c r="D169" i="13"/>
  <c r="D168" i="13"/>
  <c r="D167" i="13"/>
  <c r="D166" i="13"/>
  <c r="D165" i="13"/>
  <c r="D164" i="13"/>
  <c r="D163" i="13"/>
  <c r="D162" i="13"/>
  <c r="D161" i="13"/>
  <c r="D160" i="13"/>
  <c r="D159" i="13"/>
  <c r="D158" i="13"/>
  <c r="D157" i="13"/>
  <c r="D156" i="13"/>
  <c r="D155" i="13"/>
  <c r="D154" i="13"/>
  <c r="D153" i="13"/>
  <c r="D152" i="13"/>
  <c r="D151" i="13"/>
  <c r="D150" i="13"/>
  <c r="D149" i="13"/>
  <c r="D148" i="13"/>
  <c r="D147" i="13"/>
  <c r="D146" i="13"/>
  <c r="D145" i="13"/>
  <c r="D144" i="13"/>
  <c r="D143" i="13"/>
  <c r="D142" i="13"/>
  <c r="D141" i="13"/>
  <c r="D140" i="13"/>
  <c r="D139" i="13"/>
  <c r="D138" i="13"/>
  <c r="D137" i="13"/>
  <c r="D136" i="13"/>
  <c r="D135" i="13"/>
  <c r="D134" i="13"/>
  <c r="D133" i="13"/>
  <c r="D132" i="13"/>
  <c r="D131" i="13"/>
  <c r="D130" i="13"/>
  <c r="D129" i="13"/>
  <c r="D128" i="13"/>
  <c r="D127" i="13"/>
  <c r="D126" i="13"/>
  <c r="D125" i="13"/>
  <c r="D124" i="13"/>
  <c r="D123" i="13"/>
  <c r="D122" i="13"/>
  <c r="D121" i="13"/>
  <c r="D120" i="13"/>
  <c r="D119" i="13"/>
  <c r="D118" i="13"/>
  <c r="D117" i="13"/>
  <c r="E116" i="13"/>
  <c r="D116" i="13"/>
  <c r="E115" i="13"/>
  <c r="D115" i="13"/>
  <c r="E114" i="13"/>
  <c r="D114" i="13"/>
  <c r="D113" i="13"/>
  <c r="D112" i="13"/>
  <c r="D111" i="13"/>
  <c r="D110" i="13"/>
  <c r="D109" i="13"/>
  <c r="D108" i="13"/>
  <c r="D107" i="13"/>
  <c r="E106" i="13"/>
  <c r="D106" i="13"/>
  <c r="D105" i="13"/>
  <c r="D104" i="13"/>
  <c r="D103" i="13"/>
  <c r="D102" i="13"/>
  <c r="D101" i="13"/>
  <c r="D100" i="13"/>
  <c r="D99" i="13"/>
  <c r="D98" i="13"/>
  <c r="D97" i="13"/>
  <c r="D96" i="13"/>
  <c r="D95" i="13"/>
  <c r="D94" i="13"/>
  <c r="D93" i="13"/>
  <c r="D92" i="13"/>
  <c r="D91" i="13"/>
  <c r="D90" i="13"/>
  <c r="D89" i="13"/>
  <c r="D88" i="13"/>
  <c r="D86" i="13"/>
  <c r="D85" i="13"/>
  <c r="D83" i="13"/>
  <c r="D82" i="13"/>
  <c r="D81" i="13"/>
  <c r="D80" i="13"/>
  <c r="D79" i="13"/>
  <c r="D78" i="13"/>
  <c r="D77" i="13"/>
  <c r="D76" i="13"/>
  <c r="D75" i="13"/>
  <c r="D74" i="13"/>
  <c r="D73" i="13"/>
  <c r="D72" i="13"/>
  <c r="D71" i="13"/>
  <c r="D70" i="13"/>
  <c r="P11" i="10" a="1"/>
  <c r="P13" i="10" a="1"/>
  <c r="P6" i="10" a="1"/>
  <c r="P4" i="10" a="1"/>
  <c r="G1" i="14" l="1" a="1"/>
  <c r="G1" i="14" s="1"/>
  <c r="B4" i="22" s="1"/>
  <c r="H1" i="14" a="1"/>
  <c r="H1" i="14" s="1"/>
  <c r="K4" i="10"/>
  <c r="L15" i="10"/>
  <c r="K15" i="10" s="1"/>
  <c r="D84" i="13"/>
  <c r="B85" i="6"/>
  <c r="B86" i="6" s="1"/>
  <c r="B1" i="9"/>
  <c r="I4" i="15"/>
  <c r="I5" i="15"/>
  <c r="I6" i="15"/>
  <c r="I8" i="15"/>
  <c r="I7" i="15"/>
  <c r="H7" i="15"/>
  <c r="H8" i="15"/>
  <c r="H4" i="15"/>
  <c r="H6" i="15"/>
  <c r="H5" i="15"/>
  <c r="P11" i="10"/>
  <c r="G11" i="10" s="1" a="1"/>
  <c r="G11" i="10" s="1"/>
  <c r="K11" i="10"/>
  <c r="P13" i="10"/>
  <c r="G13" i="10" s="1" a="1"/>
  <c r="P6" i="10"/>
  <c r="G6" i="10" s="1" a="1"/>
  <c r="G6" i="10" s="1"/>
  <c r="K6" i="10"/>
  <c r="L18" i="14" a="1"/>
  <c r="L18" i="14" s="1"/>
  <c r="B46" i="14" s="1"/>
  <c r="P4" i="10"/>
  <c r="G4" i="10" s="1" a="1"/>
  <c r="G4" i="10" s="1"/>
  <c r="G12" i="10" a="1"/>
  <c r="G12" i="10" s="1"/>
  <c r="R14" i="10"/>
  <c r="M4" i="10"/>
  <c r="J4" i="10"/>
  <c r="C1" i="13"/>
  <c r="B39" i="13" s="1"/>
  <c r="B16" i="14" a="1"/>
  <c r="B16" i="14" s="1"/>
  <c r="L14" i="10" s="1"/>
  <c r="K7" i="10" l="1"/>
  <c r="I5" i="10"/>
  <c r="J5" i="10" s="1"/>
  <c r="L21" i="10" s="1"/>
  <c r="K12" i="10"/>
  <c r="J6" i="11"/>
  <c r="K7" i="15" a="1"/>
  <c r="K7" i="15" s="1"/>
  <c r="J15" i="10"/>
  <c r="I18" i="14" s="1"/>
  <c r="B7" i="9" s="1"/>
  <c r="J7" i="15" a="1"/>
  <c r="J7" i="15" s="1"/>
  <c r="K8" i="15" a="1"/>
  <c r="K8" i="15" s="1"/>
  <c r="J8" i="15" a="1"/>
  <c r="J8" i="15" s="1"/>
  <c r="J4" i="15" a="1"/>
  <c r="J4" i="15" s="1"/>
  <c r="K4" i="15" a="1"/>
  <c r="K4" i="15" s="1"/>
  <c r="J5" i="15" a="1"/>
  <c r="J5" i="15" s="1"/>
  <c r="K5" i="15" a="1"/>
  <c r="K5" i="15" s="1"/>
  <c r="J6" i="15" a="1"/>
  <c r="J6" i="15" s="1"/>
  <c r="K6" i="15" a="1"/>
  <c r="K6" i="15" s="1"/>
  <c r="J14" i="10" a="1"/>
  <c r="J14" i="10" s="1"/>
  <c r="K14" i="10"/>
  <c r="K13" i="10"/>
  <c r="G13" i="10"/>
  <c r="M6" i="10"/>
  <c r="M7" i="10" s="1"/>
  <c r="M8" i="10" s="1"/>
  <c r="B18" i="13"/>
  <c r="B46" i="13"/>
  <c r="B11" i="13"/>
  <c r="B25" i="13"/>
  <c r="B60" i="13"/>
  <c r="B4" i="13"/>
  <c r="B32" i="13"/>
  <c r="B53" i="13"/>
  <c r="C4" i="13"/>
  <c r="C25" i="13" s="1"/>
  <c r="D25" i="13" s="1"/>
  <c r="A20" i="14"/>
  <c r="P21" i="10" a="1"/>
  <c r="P15" i="10" a="1"/>
  <c r="P14" i="10" a="1"/>
  <c r="N6" i="11" a="1"/>
  <c r="P15" i="10" l="1"/>
  <c r="G15" i="10" s="1" a="1"/>
  <c r="G15" i="10" s="1"/>
  <c r="I6" i="10"/>
  <c r="P21" i="10"/>
  <c r="K21" i="10"/>
  <c r="B13" i="9"/>
  <c r="K20" i="10" s="1"/>
  <c r="F12" i="25"/>
  <c r="F27" i="25"/>
  <c r="F12" i="23"/>
  <c r="E27" i="24"/>
  <c r="E12" i="24"/>
  <c r="C18" i="29"/>
  <c r="C15" i="29"/>
  <c r="K14" i="15"/>
  <c r="J14" i="15"/>
  <c r="K15" i="15"/>
  <c r="J15" i="15"/>
  <c r="L59" i="10" s="1"/>
  <c r="N6" i="11"/>
  <c r="E6" i="11" s="1" a="1"/>
  <c r="E6" i="11" s="1"/>
  <c r="P14" i="10"/>
  <c r="G14" i="10" s="1" a="1"/>
  <c r="G14" i="10" s="1"/>
  <c r="C46" i="13"/>
  <c r="D46" i="13" s="1"/>
  <c r="C11" i="13"/>
  <c r="D11" i="13" s="1"/>
  <c r="D4" i="13"/>
  <c r="C39" i="13"/>
  <c r="D39" i="13" s="1"/>
  <c r="C18" i="13"/>
  <c r="D18" i="13" s="1"/>
  <c r="C32" i="13"/>
  <c r="D32" i="13" s="1"/>
  <c r="C53" i="13"/>
  <c r="D53" i="13" s="1"/>
  <c r="C60" i="13"/>
  <c r="D60" i="13" s="1"/>
  <c r="J6" i="10" l="1"/>
  <c r="I7" i="10"/>
  <c r="I82" i="16"/>
  <c r="C20" i="10"/>
  <c r="C19" i="10"/>
  <c r="C18" i="10"/>
  <c r="C17" i="10"/>
  <c r="N21" i="10"/>
  <c r="I89" i="10" s="1"/>
  <c r="L22" i="10"/>
  <c r="J12" i="13"/>
  <c r="B15" i="29"/>
  <c r="B18" i="29"/>
  <c r="C21" i="29"/>
  <c r="L12" i="13"/>
  <c r="L51" i="10"/>
  <c r="K59" i="10"/>
  <c r="P51" i="10" a="1"/>
  <c r="P59" i="10" a="1"/>
  <c r="P22" i="10" a="1"/>
  <c r="J13" i="13"/>
  <c r="L13" i="13"/>
  <c r="L29" i="10" l="1"/>
  <c r="L32" i="10"/>
  <c r="K32" i="10" s="1"/>
  <c r="I8" i="10"/>
  <c r="J8" i="10" s="1"/>
  <c r="J7" i="10"/>
  <c r="H13" i="12" s="1"/>
  <c r="P22" i="10"/>
  <c r="G21" i="10" a="1"/>
  <c r="G21" i="10" s="1"/>
  <c r="K22" i="10"/>
  <c r="P59" i="10"/>
  <c r="G59" i="10" s="1" a="1"/>
  <c r="G59" i="10" s="1"/>
  <c r="J18" i="29" a="1"/>
  <c r="J18" i="29" s="1"/>
  <c r="P18" i="29" a="1"/>
  <c r="P18" i="29" s="1"/>
  <c r="N18" i="29" a="1"/>
  <c r="N18" i="29" s="1"/>
  <c r="G18" i="29" a="1"/>
  <c r="G18" i="29" s="1"/>
  <c r="H18" i="29" a="1"/>
  <c r="H18" i="29" s="1"/>
  <c r="O18" i="29" a="1"/>
  <c r="O18" i="29" s="1"/>
  <c r="M18" i="29" a="1"/>
  <c r="M18" i="29" s="1"/>
  <c r="K18" i="29" a="1"/>
  <c r="K18" i="29" s="1"/>
  <c r="I18" i="29" a="1"/>
  <c r="I18" i="29" s="1"/>
  <c r="L18" i="29" a="1"/>
  <c r="L18" i="29" s="1"/>
  <c r="K15" i="29" a="1"/>
  <c r="K15" i="29" s="1"/>
  <c r="F15" i="29" a="1"/>
  <c r="F15" i="29" s="1"/>
  <c r="F21" i="29" s="1"/>
  <c r="E15" i="29" a="1"/>
  <c r="E15" i="29" s="1"/>
  <c r="E21" i="29" s="1"/>
  <c r="D15" i="29" a="1"/>
  <c r="D15" i="29" s="1"/>
  <c r="D21" i="29" s="1"/>
  <c r="I15" i="29" a="1"/>
  <c r="I15" i="29" s="1"/>
  <c r="M15" i="29" a="1"/>
  <c r="M15" i="29" s="1"/>
  <c r="L15" i="29" a="1"/>
  <c r="L15" i="29" s="1"/>
  <c r="G15" i="29" a="1"/>
  <c r="G15" i="29" s="1"/>
  <c r="J15" i="29" a="1"/>
  <c r="J15" i="29" s="1"/>
  <c r="P15" i="29" a="1"/>
  <c r="P15" i="29" s="1"/>
  <c r="H15" i="29" a="1"/>
  <c r="H15" i="29" s="1"/>
  <c r="H21" i="29" s="1"/>
  <c r="O15" i="29" a="1"/>
  <c r="O15" i="29" s="1"/>
  <c r="O21" i="29" s="1"/>
  <c r="N15" i="29" a="1"/>
  <c r="N15" i="29" s="1"/>
  <c r="P51" i="10"/>
  <c r="G51" i="10" s="1" a="1"/>
  <c r="G51" i="10" s="1"/>
  <c r="K51" i="10"/>
  <c r="P29" i="10" a="1"/>
  <c r="P32" i="10" a="1"/>
  <c r="P32" i="10" l="1"/>
  <c r="G32" i="10" s="1" a="1"/>
  <c r="G32" i="10" s="1"/>
  <c r="P29" i="10"/>
  <c r="G29" i="10" s="1" a="1"/>
  <c r="G29" i="10" s="1"/>
  <c r="K29" i="10"/>
  <c r="I9" i="10"/>
  <c r="K8" i="10"/>
  <c r="L9" i="10"/>
  <c r="H12" i="12"/>
  <c r="H9" i="12"/>
  <c r="H8" i="12"/>
  <c r="H10" i="12"/>
  <c r="H11" i="12"/>
  <c r="G22" i="10" a="1"/>
  <c r="G22" i="10" s="1"/>
  <c r="P21" i="29"/>
  <c r="L21" i="29"/>
  <c r="N21" i="29"/>
  <c r="J21" i="29"/>
  <c r="I21" i="29"/>
  <c r="M21" i="29"/>
  <c r="K21" i="29"/>
  <c r="G21" i="29"/>
  <c r="P9" i="10" a="1"/>
  <c r="P9" i="10" l="1"/>
  <c r="G9" i="10" s="1" a="1"/>
  <c r="G9" i="10" s="1"/>
  <c r="K9" i="10"/>
  <c r="M9" i="10"/>
  <c r="J9" i="10"/>
  <c r="E56" i="10"/>
  <c r="E70" i="10"/>
  <c r="E76" i="10"/>
  <c r="E82" i="10"/>
  <c r="E64" i="10"/>
  <c r="M10" i="10" l="1"/>
  <c r="M11" i="10" s="1"/>
  <c r="M12" i="10" s="1"/>
  <c r="M13" i="10" s="1"/>
  <c r="M14" i="10" s="1"/>
  <c r="M15" i="10" s="1"/>
  <c r="I10" i="10"/>
  <c r="J10" i="10" s="1"/>
  <c r="B3" i="12" s="1"/>
  <c r="M17" i="10" l="1"/>
  <c r="M18" i="10" s="1"/>
  <c r="M26" i="10"/>
  <c r="I11" i="10"/>
  <c r="I12" i="10" s="1"/>
  <c r="B4" i="12"/>
  <c r="M27" i="10" l="1"/>
  <c r="M28" i="10"/>
  <c r="M29" i="10" s="1"/>
  <c r="B5" i="12"/>
  <c r="J11" i="10"/>
  <c r="I13" i="10"/>
  <c r="J12" i="10"/>
  <c r="M31" i="10" l="1"/>
  <c r="M32" i="10" s="1"/>
  <c r="M30" i="10"/>
  <c r="B41" i="14"/>
  <c r="B44" i="14" s="1"/>
  <c r="K14" i="12" s="1"/>
  <c r="C41" i="14"/>
  <c r="I14" i="10"/>
  <c r="I15" i="10" s="1"/>
  <c r="I17" i="10" s="1"/>
  <c r="J13" i="10"/>
  <c r="K5" i="11"/>
  <c r="K6" i="11" s="1"/>
  <c r="M34" i="10" l="1"/>
  <c r="M33" i="10"/>
  <c r="I16" i="10"/>
  <c r="I18" i="10"/>
  <c r="J17" i="10"/>
  <c r="G12" i="12"/>
  <c r="G11" i="12"/>
  <c r="G13" i="12"/>
  <c r="G8" i="12"/>
  <c r="G10" i="12"/>
  <c r="G9" i="12"/>
  <c r="B88" i="6"/>
  <c r="B89" i="6" s="1"/>
  <c r="D87" i="13"/>
  <c r="J14" i="12"/>
  <c r="L36" i="16"/>
  <c r="C36" i="16" s="1"/>
  <c r="I73" i="16"/>
  <c r="B73" i="16"/>
  <c r="G9" i="11"/>
  <c r="G8" i="11"/>
  <c r="G10" i="11"/>
  <c r="D7" i="11"/>
  <c r="G6" i="11"/>
  <c r="H6" i="11" s="1"/>
  <c r="F2" i="22" s="1"/>
  <c r="B22" i="22" l="1"/>
  <c r="S14" i="12"/>
  <c r="M35" i="10"/>
  <c r="M36" i="10"/>
  <c r="L14" i="12"/>
  <c r="D22" i="22" s="1"/>
  <c r="I19" i="10"/>
  <c r="J18" i="10"/>
  <c r="E95" i="16"/>
  <c r="F100" i="20" s="1"/>
  <c r="K19" i="7"/>
  <c r="J24" i="7"/>
  <c r="K8" i="1"/>
  <c r="K24" i="7"/>
  <c r="K16" i="7"/>
  <c r="B23" i="8"/>
  <c r="O8" i="1" a="1"/>
  <c r="O16" i="7" a="1"/>
  <c r="M38" i="10" l="1"/>
  <c r="M37" i="10"/>
  <c r="N14" i="12"/>
  <c r="M14" i="12"/>
  <c r="J53" i="20"/>
  <c r="J52" i="20"/>
  <c r="J40" i="20"/>
  <c r="J27" i="20"/>
  <c r="J26" i="20"/>
  <c r="H27" i="20"/>
  <c r="H26" i="20"/>
  <c r="B35" i="25"/>
  <c r="B34" i="25"/>
  <c r="B22" i="23"/>
  <c r="B19" i="23"/>
  <c r="B21" i="23"/>
  <c r="B20" i="23"/>
  <c r="B37" i="25"/>
  <c r="B36" i="25"/>
  <c r="J16" i="7"/>
  <c r="J19" i="7"/>
  <c r="B24" i="8" a="1"/>
  <c r="B24" i="8" s="1"/>
  <c r="K21" i="7"/>
  <c r="J21" i="7" s="1"/>
  <c r="K18" i="7"/>
  <c r="J18" i="7" s="1"/>
  <c r="B25" i="8" a="1"/>
  <c r="B25" i="8" s="1"/>
  <c r="B27" i="8" a="1"/>
  <c r="B27" i="8" s="1"/>
  <c r="B26" i="8" a="1"/>
  <c r="B26" i="8" s="1"/>
  <c r="B28" i="8" a="1"/>
  <c r="B28" i="8" s="1"/>
  <c r="N19" i="7" s="1"/>
  <c r="O8" i="1"/>
  <c r="K17" i="7"/>
  <c r="J17" i="7" s="1"/>
  <c r="O16" i="7"/>
  <c r="F16" i="7" s="1" a="1"/>
  <c r="F16" i="7" s="1"/>
  <c r="L16" i="7"/>
  <c r="O24" i="7" a="1"/>
  <c r="M39" i="10" l="1"/>
  <c r="M42" i="10"/>
  <c r="B23" i="23"/>
  <c r="F23" i="23" s="1"/>
  <c r="B38" i="25"/>
  <c r="I38" i="25" s="1"/>
  <c r="C17" i="29"/>
  <c r="N21" i="7"/>
  <c r="C31" i="7" s="1"/>
  <c r="N18" i="7"/>
  <c r="C30" i="7" s="1"/>
  <c r="O24" i="7"/>
  <c r="F24" i="7" s="1" a="1"/>
  <c r="F24" i="7" s="1"/>
  <c r="M18" i="7"/>
  <c r="O19" i="7" a="1"/>
  <c r="O21" i="7" a="1"/>
  <c r="O18" i="7" a="1"/>
  <c r="J38" i="25" l="1"/>
  <c r="K38" i="25"/>
  <c r="G38" i="25"/>
  <c r="C38" i="25"/>
  <c r="D38" i="25"/>
  <c r="H38" i="25"/>
  <c r="F38" i="25"/>
  <c r="A38" i="25"/>
  <c r="A42" i="25" s="1"/>
  <c r="C23" i="23"/>
  <c r="H23" i="23"/>
  <c r="A23" i="23"/>
  <c r="D23" i="23"/>
  <c r="I23" i="23"/>
  <c r="G23" i="23"/>
  <c r="B17" i="29"/>
  <c r="D17" i="29" s="1" a="1"/>
  <c r="D17" i="29" s="1"/>
  <c r="D23" i="29" s="1"/>
  <c r="D26" i="29" s="1"/>
  <c r="C23" i="29"/>
  <c r="C26" i="29" s="1"/>
  <c r="O18" i="7"/>
  <c r="F18" i="7" s="1" a="1"/>
  <c r="F18" i="7" s="1"/>
  <c r="O21" i="7"/>
  <c r="O19" i="7"/>
  <c r="K17" i="29" l="1" a="1"/>
  <c r="K17" i="29" s="1"/>
  <c r="K23" i="29" s="1"/>
  <c r="K26" i="29" s="1"/>
  <c r="L17" i="29" a="1"/>
  <c r="L17" i="29" s="1"/>
  <c r="L23" i="29" s="1"/>
  <c r="L26" i="29" s="1"/>
  <c r="N17" i="29" a="1"/>
  <c r="N17" i="29" s="1"/>
  <c r="N23" i="29" s="1"/>
  <c r="N26" i="29" s="1"/>
  <c r="O17" i="29" a="1"/>
  <c r="O17" i="29" s="1"/>
  <c r="O23" i="29" s="1"/>
  <c r="O26" i="29" s="1"/>
  <c r="G17" i="29" a="1"/>
  <c r="G17" i="29" s="1"/>
  <c r="G23" i="29" s="1"/>
  <c r="G26" i="29" s="1"/>
  <c r="I17" i="29" a="1"/>
  <c r="I17" i="29" s="1"/>
  <c r="I23" i="29" s="1"/>
  <c r="I26" i="29" s="1"/>
  <c r="J17" i="29" a="1"/>
  <c r="J17" i="29" s="1"/>
  <c r="J23" i="29" s="1"/>
  <c r="J26" i="29" s="1"/>
  <c r="H17" i="29" a="1"/>
  <c r="H17" i="29" s="1"/>
  <c r="H23" i="29" s="1"/>
  <c r="H26" i="29" s="1"/>
  <c r="M17" i="29" a="1"/>
  <c r="M17" i="29" s="1"/>
  <c r="M23" i="29" s="1"/>
  <c r="M26" i="29" s="1"/>
  <c r="P17" i="29" a="1"/>
  <c r="P17" i="29" s="1"/>
  <c r="P23" i="29" s="1"/>
  <c r="P26" i="29" s="1"/>
  <c r="E17" i="29" a="1"/>
  <c r="E17" i="29" s="1"/>
  <c r="E23" i="29" s="1"/>
  <c r="E26" i="29" s="1"/>
  <c r="F17" i="29" a="1"/>
  <c r="F17" i="29" s="1"/>
  <c r="F23" i="29" s="1"/>
  <c r="F26" i="29" s="1"/>
  <c r="I6" i="8"/>
  <c r="S10" i="7" l="1"/>
  <c r="T10" i="7"/>
  <c r="T12" i="7"/>
  <c r="S12" i="7"/>
  <c r="K8" i="7"/>
  <c r="B5" i="8"/>
  <c r="C5" i="8"/>
  <c r="D5" i="8"/>
  <c r="G6" i="8"/>
  <c r="F6" i="8"/>
  <c r="E6" i="8"/>
  <c r="D6" i="8"/>
  <c r="C6" i="8"/>
  <c r="B6" i="8"/>
  <c r="O8" i="7" a="1"/>
  <c r="O8" i="7" l="1"/>
  <c r="K5" i="7"/>
  <c r="K4" i="7"/>
  <c r="J4" i="7" s="1"/>
  <c r="G5" i="8"/>
  <c r="F5" i="8"/>
  <c r="E5" i="8"/>
  <c r="O5" i="7" a="1"/>
  <c r="O5" i="7" l="1"/>
  <c r="I4" i="7"/>
  <c r="L4" i="7"/>
  <c r="O4" i="7" a="1"/>
  <c r="O4" i="7" l="1"/>
  <c r="F4" i="7" s="1" a="1"/>
  <c r="F4" i="7" s="1"/>
  <c r="H5" i="7"/>
  <c r="I5" i="7" s="1"/>
  <c r="L5" i="7"/>
  <c r="H5" i="23" l="1"/>
  <c r="H22" i="24"/>
  <c r="H19" i="24"/>
  <c r="H7" i="23"/>
  <c r="I7" i="25"/>
  <c r="I22" i="25" s="1"/>
  <c r="I4" i="23"/>
  <c r="G22" i="24"/>
  <c r="I4" i="25"/>
  <c r="I19" i="25" s="1"/>
  <c r="G20" i="24"/>
  <c r="I7" i="23"/>
  <c r="H7" i="25"/>
  <c r="H22" i="25" s="1"/>
  <c r="H4" i="23"/>
  <c r="H21" i="24"/>
  <c r="H4" i="25"/>
  <c r="H19" i="25" s="1"/>
  <c r="G19" i="24"/>
  <c r="I5" i="23"/>
  <c r="I6" i="25"/>
  <c r="I21" i="25" s="1"/>
  <c r="H6" i="23"/>
  <c r="H6" i="25"/>
  <c r="H21" i="25" s="1"/>
  <c r="H20" i="24"/>
  <c r="I5" i="25"/>
  <c r="I20" i="25" s="1"/>
  <c r="I6" i="23"/>
  <c r="H5" i="25"/>
  <c r="H20" i="25" s="1"/>
  <c r="G21" i="24"/>
  <c r="G6" i="25"/>
  <c r="G21" i="25" s="1"/>
  <c r="G5" i="23"/>
  <c r="G4" i="23"/>
  <c r="G7" i="23"/>
  <c r="G5" i="25"/>
  <c r="G20" i="25" s="1"/>
  <c r="G7" i="25"/>
  <c r="G22" i="25" s="1"/>
  <c r="G4" i="25"/>
  <c r="G19" i="25" s="1"/>
  <c r="G6" i="23"/>
  <c r="F22" i="24"/>
  <c r="F21" i="24"/>
  <c r="F19" i="24"/>
  <c r="F20" i="24"/>
  <c r="F5" i="7" a="1"/>
  <c r="F5" i="7" s="1"/>
  <c r="B3" i="8"/>
  <c r="B10" i="25" l="1"/>
  <c r="B25" i="25" s="1"/>
  <c r="B9" i="25"/>
  <c r="B24" i="25" s="1"/>
  <c r="B8" i="24"/>
  <c r="B23" i="24" s="1"/>
  <c r="B9" i="24"/>
  <c r="B24" i="24" s="1"/>
  <c r="B8" i="25"/>
  <c r="B23" i="25" s="1"/>
  <c r="B10" i="24"/>
  <c r="B25" i="24" s="1"/>
  <c r="B12" i="24"/>
  <c r="B27" i="24" s="1"/>
  <c r="B12" i="25"/>
  <c r="B27" i="25" s="1"/>
  <c r="B11" i="24"/>
  <c r="B26" i="24" s="1"/>
  <c r="B11" i="25"/>
  <c r="B26" i="25" s="1"/>
  <c r="B11" i="23"/>
  <c r="B10" i="23"/>
  <c r="B9" i="23"/>
  <c r="B8" i="23"/>
  <c r="B12" i="23"/>
  <c r="V6" i="8" a="1"/>
  <c r="V6" i="8" s="1"/>
  <c r="I10" i="7" s="1"/>
  <c r="J8" i="7"/>
  <c r="K20" i="7"/>
  <c r="J20" i="7" s="1"/>
  <c r="Q6" i="7"/>
  <c r="K10" i="7"/>
  <c r="J10" i="7" s="1"/>
  <c r="K13" i="7"/>
  <c r="J13" i="7" s="1"/>
  <c r="K12" i="7"/>
  <c r="J12" i="7" s="1"/>
  <c r="K9" i="7"/>
  <c r="J9" i="7" s="1"/>
  <c r="K11" i="7"/>
  <c r="J11" i="7" s="1"/>
  <c r="K7" i="7"/>
  <c r="J7" i="7" s="1"/>
  <c r="B4" i="8" a="1"/>
  <c r="B4" i="8" s="1"/>
  <c r="A8" i="8"/>
  <c r="O17" i="7" a="1"/>
  <c r="O12" i="7" a="1"/>
  <c r="B16" i="8" l="1"/>
  <c r="B5" i="9" s="1"/>
  <c r="J5" i="7"/>
  <c r="O17" i="7"/>
  <c r="F17" i="7" s="1" a="1"/>
  <c r="F17" i="7" s="1"/>
  <c r="O12" i="7"/>
  <c r="I7" i="7"/>
  <c r="H6" i="7"/>
  <c r="K6" i="7"/>
  <c r="J6" i="7" s="1"/>
  <c r="O10" i="7" a="1"/>
  <c r="O9" i="7" a="1"/>
  <c r="O13" i="7" a="1"/>
  <c r="O20" i="7" a="1"/>
  <c r="O11" i="7" a="1"/>
  <c r="O7" i="7" a="1"/>
  <c r="O10" i="7" l="1"/>
  <c r="D27" i="24"/>
  <c r="D19" i="24"/>
  <c r="D26" i="24"/>
  <c r="D25" i="24"/>
  <c r="D24" i="24"/>
  <c r="D23" i="24"/>
  <c r="D22" i="24"/>
  <c r="D21" i="24"/>
  <c r="D20" i="24"/>
  <c r="E27" i="25"/>
  <c r="E23" i="25"/>
  <c r="E19" i="25"/>
  <c r="E9" i="25"/>
  <c r="E5" i="25"/>
  <c r="D11" i="24"/>
  <c r="D7" i="24"/>
  <c r="E12" i="23"/>
  <c r="E8" i="23"/>
  <c r="E4" i="23"/>
  <c r="E26" i="25"/>
  <c r="E22" i="25"/>
  <c r="E12" i="25"/>
  <c r="E8" i="25"/>
  <c r="E4" i="25"/>
  <c r="D10" i="24"/>
  <c r="D6" i="24"/>
  <c r="E11" i="23"/>
  <c r="E7" i="23"/>
  <c r="E25" i="25"/>
  <c r="E21" i="25"/>
  <c r="E11" i="25"/>
  <c r="E7" i="25"/>
  <c r="D9" i="24"/>
  <c r="D5" i="24"/>
  <c r="E10" i="23"/>
  <c r="E6" i="23"/>
  <c r="E24" i="25"/>
  <c r="E20" i="25"/>
  <c r="E10" i="25"/>
  <c r="E6" i="25"/>
  <c r="D12" i="24"/>
  <c r="D8" i="24"/>
  <c r="D4" i="24"/>
  <c r="E9" i="23"/>
  <c r="E5" i="23"/>
  <c r="C4" i="22"/>
  <c r="O13" i="7"/>
  <c r="O9" i="7"/>
  <c r="O7" i="7"/>
  <c r="O11" i="7"/>
  <c r="O20" i="7"/>
  <c r="F20" i="7" s="1" a="1"/>
  <c r="F20" i="7" s="1"/>
  <c r="L6" i="7"/>
  <c r="I6" i="7" a="1"/>
  <c r="I6" i="7" s="1"/>
  <c r="J8" i="1"/>
  <c r="J40" i="5"/>
  <c r="K31" i="5"/>
  <c r="J31" i="5" s="1"/>
  <c r="K26" i="5"/>
  <c r="J26" i="5" s="1"/>
  <c r="K25" i="5"/>
  <c r="J25" i="5" s="1"/>
  <c r="K19" i="5"/>
  <c r="J19" i="5" s="1"/>
  <c r="T7" i="5"/>
  <c r="S7" i="5"/>
  <c r="K14" i="5"/>
  <c r="J14" i="5" s="1"/>
  <c r="K13" i="5"/>
  <c r="J13" i="5" s="1"/>
  <c r="K20" i="5"/>
  <c r="J20" i="5" s="1"/>
  <c r="K32" i="5"/>
  <c r="J32" i="5" s="1"/>
  <c r="E82" i="6"/>
  <c r="E83" i="6" s="1"/>
  <c r="E84" i="6" s="1"/>
  <c r="E85" i="6" s="1"/>
  <c r="E86" i="6" s="1"/>
  <c r="E87" i="6" s="1"/>
  <c r="E88" i="6" s="1"/>
  <c r="E89" i="6" s="1"/>
  <c r="E90" i="6" s="1"/>
  <c r="E91" i="6" s="1"/>
  <c r="E92" i="6" s="1"/>
  <c r="E93" i="6" s="1"/>
  <c r="E94" i="6" s="1"/>
  <c r="E95" i="6" s="1"/>
  <c r="E96" i="6" s="1"/>
  <c r="E97" i="6" s="1"/>
  <c r="E98" i="6" s="1"/>
  <c r="E99" i="6" s="1"/>
  <c r="E100" i="6" s="1"/>
  <c r="E101" i="6" s="1"/>
  <c r="E102" i="6" s="1"/>
  <c r="E103" i="6" s="1"/>
  <c r="E104" i="6" s="1"/>
  <c r="E105" i="6" s="1"/>
  <c r="E106" i="6" s="1"/>
  <c r="E107" i="6" s="1"/>
  <c r="E108" i="6" s="1"/>
  <c r="E109" i="6" s="1"/>
  <c r="E110" i="6" s="1"/>
  <c r="E111" i="6" s="1"/>
  <c r="E112" i="6" s="1"/>
  <c r="E113" i="6" s="1"/>
  <c r="E114" i="6" s="1"/>
  <c r="E115" i="6" s="1"/>
  <c r="F77" i="6"/>
  <c r="F78" i="6" s="1"/>
  <c r="F79" i="6" s="1"/>
  <c r="F80" i="6" s="1"/>
  <c r="F81" i="6" s="1"/>
  <c r="F82" i="6" s="1"/>
  <c r="F83" i="6" s="1"/>
  <c r="F84" i="6" s="1"/>
  <c r="F85" i="6" s="1"/>
  <c r="F86" i="6" s="1"/>
  <c r="F87" i="6" s="1"/>
  <c r="F88" i="6" s="1"/>
  <c r="F89" i="6" s="1"/>
  <c r="F90" i="6" s="1"/>
  <c r="F91" i="6" s="1"/>
  <c r="F92" i="6" s="1"/>
  <c r="F93" i="6" s="1"/>
  <c r="F94" i="6" s="1"/>
  <c r="F95" i="6" s="1"/>
  <c r="F96" i="6" s="1"/>
  <c r="F97" i="6" s="1"/>
  <c r="F98" i="6" s="1"/>
  <c r="F99" i="6" s="1"/>
  <c r="F100" i="6" s="1"/>
  <c r="F101" i="6" s="1"/>
  <c r="F102" i="6" s="1"/>
  <c r="F103" i="6" s="1"/>
  <c r="F104" i="6" s="1"/>
  <c r="F105" i="6" s="1"/>
  <c r="F106" i="6" s="1"/>
  <c r="F107" i="6" s="1"/>
  <c r="F108" i="6" s="1"/>
  <c r="F109" i="6" s="1"/>
  <c r="F110" i="6" s="1"/>
  <c r="F111" i="6" s="1"/>
  <c r="F112" i="6" s="1"/>
  <c r="F113" i="6" s="1"/>
  <c r="F114" i="6" s="1"/>
  <c r="F115" i="6" s="1"/>
  <c r="E75" i="6"/>
  <c r="E76" i="6" s="1"/>
  <c r="E77" i="6" s="1"/>
  <c r="E78" i="6" s="1"/>
  <c r="E79" i="6" s="1"/>
  <c r="E80" i="6" s="1"/>
  <c r="C49" i="6"/>
  <c r="C50" i="6" s="1"/>
  <c r="C51" i="6" s="1"/>
  <c r="C52" i="6" s="1"/>
  <c r="C53" i="6" s="1"/>
  <c r="C54" i="6" s="1"/>
  <c r="C55" i="6" s="1"/>
  <c r="C56" i="6" s="1"/>
  <c r="C57" i="6" s="1"/>
  <c r="C58" i="6" s="1"/>
  <c r="C59" i="6" s="1"/>
  <c r="C60" i="6" s="1"/>
  <c r="C61" i="6" s="1"/>
  <c r="C62" i="6" s="1"/>
  <c r="C63" i="6" s="1"/>
  <c r="C64" i="6" s="1"/>
  <c r="C65" i="6" s="1"/>
  <c r="C66" i="6" s="1"/>
  <c r="C67" i="6" s="1"/>
  <c r="C68" i="6" s="1"/>
  <c r="C69" i="6" s="1"/>
  <c r="C70" i="6" s="1"/>
  <c r="C71" i="6" s="1"/>
  <c r="C72" i="6" s="1"/>
  <c r="C73" i="6" s="1"/>
  <c r="C74" i="6" s="1"/>
  <c r="C75" i="6" s="1"/>
  <c r="C76" i="6" s="1"/>
  <c r="C77" i="6" s="1"/>
  <c r="C78" i="6" s="1"/>
  <c r="C79" i="6" s="1"/>
  <c r="C80" i="6" s="1"/>
  <c r="C81" i="6" s="1"/>
  <c r="C82" i="6" s="1"/>
  <c r="C83" i="6" s="1"/>
  <c r="C84" i="6" s="1"/>
  <c r="C85" i="6" s="1"/>
  <c r="C86" i="6" s="1"/>
  <c r="C87" i="6" s="1"/>
  <c r="C88" i="6" s="1"/>
  <c r="C89" i="6" s="1"/>
  <c r="C90" i="6" s="1"/>
  <c r="C91" i="6" s="1"/>
  <c r="C92" i="6" s="1"/>
  <c r="C93" i="6" s="1"/>
  <c r="C94" i="6" s="1"/>
  <c r="C95" i="6" s="1"/>
  <c r="C97" i="6" s="1"/>
  <c r="C98" i="6" s="1"/>
  <c r="C99" i="6" s="1"/>
  <c r="C100" i="6" s="1"/>
  <c r="C101" i="6" s="1"/>
  <c r="C102" i="6" s="1"/>
  <c r="C103" i="6" s="1"/>
  <c r="C104" i="6" s="1"/>
  <c r="C105" i="6" s="1"/>
  <c r="C106" i="6" s="1"/>
  <c r="C107" i="6" s="1"/>
  <c r="C108" i="6" s="1"/>
  <c r="C109" i="6" s="1"/>
  <c r="C110" i="6" s="1"/>
  <c r="C111" i="6" s="1"/>
  <c r="C112" i="6" s="1"/>
  <c r="C113" i="6" s="1"/>
  <c r="C114" i="6" s="1"/>
  <c r="C115" i="6" s="1"/>
  <c r="C116" i="6" s="1"/>
  <c r="E44" i="6"/>
  <c r="E45" i="6" s="1"/>
  <c r="E46" i="6" s="1"/>
  <c r="E47" i="6" s="1"/>
  <c r="E48" i="6" s="1"/>
  <c r="E49" i="6" s="1"/>
  <c r="E50" i="6" s="1"/>
  <c r="E51" i="6" s="1"/>
  <c r="E52" i="6" s="1"/>
  <c r="E53" i="6" s="1"/>
  <c r="E54" i="6" s="1"/>
  <c r="E55" i="6" s="1"/>
  <c r="E56" i="6" s="1"/>
  <c r="E57" i="6" s="1"/>
  <c r="E58" i="6" s="1"/>
  <c r="E59" i="6" s="1"/>
  <c r="E60" i="6" s="1"/>
  <c r="E61" i="6" s="1"/>
  <c r="E62" i="6" s="1"/>
  <c r="E63" i="6" s="1"/>
  <c r="E64" i="6" s="1"/>
  <c r="E65" i="6" s="1"/>
  <c r="E66" i="6" s="1"/>
  <c r="E67" i="6" s="1"/>
  <c r="E68" i="6" s="1"/>
  <c r="E69" i="6" s="1"/>
  <c r="E70" i="6" s="1"/>
  <c r="E71" i="6" s="1"/>
  <c r="E72" i="6" s="1"/>
  <c r="E73" i="6" s="1"/>
  <c r="D33" i="6"/>
  <c r="D34" i="6" s="1"/>
  <c r="D35" i="6" s="1"/>
  <c r="D36" i="6" s="1"/>
  <c r="D37" i="6" s="1"/>
  <c r="D38" i="6" s="1"/>
  <c r="D39" i="6" s="1"/>
  <c r="D40" i="6" s="1"/>
  <c r="D41" i="6" s="1"/>
  <c r="D42" i="6" s="1"/>
  <c r="D43" i="6" s="1"/>
  <c r="D44" i="6" s="1"/>
  <c r="D45" i="6" s="1"/>
  <c r="D46" i="6" s="1"/>
  <c r="D47" i="6" s="1"/>
  <c r="D48" i="6" s="1"/>
  <c r="D49" i="6" s="1"/>
  <c r="D50" i="6" s="1"/>
  <c r="D51" i="6" s="1"/>
  <c r="D52" i="6" s="1"/>
  <c r="D53" i="6" s="1"/>
  <c r="D54" i="6" s="1"/>
  <c r="D55" i="6" s="1"/>
  <c r="D56" i="6" s="1"/>
  <c r="D57" i="6" s="1"/>
  <c r="D58" i="6" s="1"/>
  <c r="D59" i="6" s="1"/>
  <c r="D60" i="6" s="1"/>
  <c r="D61" i="6" s="1"/>
  <c r="D62" i="6" s="1"/>
  <c r="D63" i="6" s="1"/>
  <c r="D64" i="6" s="1"/>
  <c r="D65" i="6" s="1"/>
  <c r="D66" i="6" s="1"/>
  <c r="D67" i="6" s="1"/>
  <c r="D68" i="6" s="1"/>
  <c r="D69" i="6" s="1"/>
  <c r="D70" i="6" s="1"/>
  <c r="D71" i="6" s="1"/>
  <c r="D72" i="6" s="1"/>
  <c r="D73" i="6" s="1"/>
  <c r="D74" i="6" s="1"/>
  <c r="D75" i="6" s="1"/>
  <c r="D76" i="6" s="1"/>
  <c r="D77" i="6" s="1"/>
  <c r="D78" i="6" s="1"/>
  <c r="D79" i="6" s="1"/>
  <c r="D80" i="6" s="1"/>
  <c r="D81" i="6" s="1"/>
  <c r="D82" i="6" s="1"/>
  <c r="D83" i="6" s="1"/>
  <c r="D84" i="6" s="1"/>
  <c r="D85" i="6" s="1"/>
  <c r="D86" i="6" s="1"/>
  <c r="D87" i="6" s="1"/>
  <c r="D88" i="6" s="1"/>
  <c r="D89" i="6" s="1"/>
  <c r="D90" i="6" s="1"/>
  <c r="D91" i="6" s="1"/>
  <c r="D92" i="6" s="1"/>
  <c r="D93" i="6" s="1"/>
  <c r="D94" i="6" s="1"/>
  <c r="D95" i="6" s="1"/>
  <c r="D97" i="6" s="1"/>
  <c r="D98" i="6" s="1"/>
  <c r="D99" i="6" s="1"/>
  <c r="D100" i="6" s="1"/>
  <c r="D101" i="6" s="1"/>
  <c r="D102" i="6" s="1"/>
  <c r="D103" i="6" s="1"/>
  <c r="D104" i="6" s="1"/>
  <c r="D105" i="6" s="1"/>
  <c r="D106" i="6" s="1"/>
  <c r="D107" i="6" s="1"/>
  <c r="D108" i="6" s="1"/>
  <c r="D109" i="6" s="1"/>
  <c r="D110" i="6" s="1"/>
  <c r="D111" i="6" s="1"/>
  <c r="D112" i="6" s="1"/>
  <c r="D113" i="6" s="1"/>
  <c r="D114" i="6" s="1"/>
  <c r="D115" i="6" s="1"/>
  <c r="D116" i="6" s="1"/>
  <c r="A33" i="6"/>
  <c r="A34" i="6" s="1"/>
  <c r="A35" i="6" s="1"/>
  <c r="A36" i="6" s="1"/>
  <c r="A37" i="6" s="1"/>
  <c r="A38" i="6" s="1"/>
  <c r="A39" i="6" s="1"/>
  <c r="A40" i="6" s="1"/>
  <c r="A41" i="6" s="1"/>
  <c r="A42" i="6" s="1"/>
  <c r="A43" i="6" s="1"/>
  <c r="A44" i="6" s="1"/>
  <c r="A45" i="6" s="1"/>
  <c r="A46" i="6" s="1"/>
  <c r="A47" i="6" s="1"/>
  <c r="A48" i="6" s="1"/>
  <c r="A49" i="6" s="1"/>
  <c r="A50" i="6" s="1"/>
  <c r="A51" i="6" s="1"/>
  <c r="A52" i="6" s="1"/>
  <c r="A53" i="6" s="1"/>
  <c r="A54" i="6" s="1"/>
  <c r="A55" i="6" s="1"/>
  <c r="A56" i="6" s="1"/>
  <c r="A57" i="6" s="1"/>
  <c r="A58" i="6" s="1"/>
  <c r="A59" i="6" s="1"/>
  <c r="A61" i="6" s="1"/>
  <c r="A62" i="6" s="1"/>
  <c r="A63" i="6" s="1"/>
  <c r="A64" i="6" s="1"/>
  <c r="A65" i="6" s="1"/>
  <c r="A66" i="6" s="1"/>
  <c r="A67" i="6" s="1"/>
  <c r="A68" i="6" s="1"/>
  <c r="A69" i="6" s="1"/>
  <c r="A70" i="6" s="1"/>
  <c r="A71" i="6" s="1"/>
  <c r="A72" i="6" s="1"/>
  <c r="A73" i="6" s="1"/>
  <c r="A74" i="6" s="1"/>
  <c r="A75" i="6" s="1"/>
  <c r="A76" i="6" s="1"/>
  <c r="A77" i="6" s="1"/>
  <c r="A78" i="6" s="1"/>
  <c r="A79" i="6" s="1"/>
  <c r="A80" i="6" s="1"/>
  <c r="A81" i="6" s="1"/>
  <c r="A82" i="6" s="1"/>
  <c r="A83" i="6" s="1"/>
  <c r="A84" i="6" s="1"/>
  <c r="A85" i="6" s="1"/>
  <c r="A86" i="6" s="1"/>
  <c r="A87" i="6" s="1"/>
  <c r="A88" i="6" s="1"/>
  <c r="A89" i="6" s="1"/>
  <c r="A90" i="6" s="1"/>
  <c r="A91" i="6" s="1"/>
  <c r="A92" i="6" s="1"/>
  <c r="A93" i="6" s="1"/>
  <c r="A94" i="6" s="1"/>
  <c r="A95" i="6" s="1"/>
  <c r="A96" i="6" s="1"/>
  <c r="A97" i="6" s="1"/>
  <c r="A98" i="6" s="1"/>
  <c r="A99" i="6" s="1"/>
  <c r="A100" i="6" s="1"/>
  <c r="A101" i="6" s="1"/>
  <c r="A102" i="6" s="1"/>
  <c r="A103" i="6" s="1"/>
  <c r="A104" i="6" s="1"/>
  <c r="A105" i="6" s="1"/>
  <c r="A106" i="6" s="1"/>
  <c r="A107" i="6" s="1"/>
  <c r="A108" i="6" s="1"/>
  <c r="A109" i="6" s="1"/>
  <c r="A110" i="6" s="1"/>
  <c r="A111" i="6" s="1"/>
  <c r="A112" i="6" s="1"/>
  <c r="A113" i="6" s="1"/>
  <c r="A114" i="6" s="1"/>
  <c r="A115" i="6" s="1"/>
  <c r="A116" i="6" s="1"/>
  <c r="P30" i="6"/>
  <c r="P29" i="6"/>
  <c r="P28" i="6"/>
  <c r="P27" i="6"/>
  <c r="P26" i="6"/>
  <c r="P25" i="6"/>
  <c r="P24" i="6"/>
  <c r="P23" i="6"/>
  <c r="P22" i="6"/>
  <c r="F22" i="6"/>
  <c r="F23" i="6" s="1"/>
  <c r="F24" i="6" s="1"/>
  <c r="F25" i="6" s="1"/>
  <c r="F26" i="6" s="1"/>
  <c r="F27" i="6" s="1"/>
  <c r="F28" i="6" s="1"/>
  <c r="F29" i="6" s="1"/>
  <c r="F30" i="6" s="1"/>
  <c r="F31" i="6" s="1"/>
  <c r="F32" i="6" s="1"/>
  <c r="F33" i="6" s="1"/>
  <c r="F34" i="6" s="1"/>
  <c r="F35" i="6" s="1"/>
  <c r="F36" i="6" s="1"/>
  <c r="F37" i="6" s="1"/>
  <c r="F38" i="6" s="1"/>
  <c r="F39" i="6" s="1"/>
  <c r="F40" i="6" s="1"/>
  <c r="F41" i="6" s="1"/>
  <c r="F42" i="6" s="1"/>
  <c r="F43" i="6" s="1"/>
  <c r="F44" i="6" s="1"/>
  <c r="F45" i="6" s="1"/>
  <c r="F46" i="6" s="1"/>
  <c r="F47" i="6" s="1"/>
  <c r="F48" i="6" s="1"/>
  <c r="P21" i="6"/>
  <c r="P20" i="6"/>
  <c r="A20" i="6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P19" i="6"/>
  <c r="G19" i="6"/>
  <c r="G20" i="6" s="1"/>
  <c r="G21" i="6" s="1"/>
  <c r="G22" i="6" s="1"/>
  <c r="G23" i="6" s="1"/>
  <c r="G24" i="6" s="1"/>
  <c r="G25" i="6" s="1"/>
  <c r="G26" i="6" s="1"/>
  <c r="G27" i="6" s="1"/>
  <c r="P18" i="6"/>
  <c r="P17" i="6"/>
  <c r="P16" i="6"/>
  <c r="P15" i="6"/>
  <c r="E15" i="6"/>
  <c r="E16" i="6" s="1"/>
  <c r="E17" i="6" s="1"/>
  <c r="E18" i="6" s="1"/>
  <c r="E19" i="6" s="1"/>
  <c r="E20" i="6" s="1"/>
  <c r="E21" i="6" s="1"/>
  <c r="E22" i="6" s="1"/>
  <c r="E23" i="6" s="1"/>
  <c r="E24" i="6" s="1"/>
  <c r="E25" i="6" s="1"/>
  <c r="E26" i="6" s="1"/>
  <c r="E27" i="6" s="1"/>
  <c r="E28" i="6" s="1"/>
  <c r="E29" i="6" s="1"/>
  <c r="E30" i="6" s="1"/>
  <c r="E31" i="6" s="1"/>
  <c r="E32" i="6" s="1"/>
  <c r="E33" i="6" s="1"/>
  <c r="E34" i="6" s="1"/>
  <c r="E35" i="6" s="1"/>
  <c r="E36" i="6" s="1"/>
  <c r="E37" i="6" s="1"/>
  <c r="E38" i="6" s="1"/>
  <c r="E39" i="6" s="1"/>
  <c r="E40" i="6" s="1"/>
  <c r="E41" i="6" s="1"/>
  <c r="E42" i="6" s="1"/>
  <c r="P14" i="6"/>
  <c r="P13" i="6"/>
  <c r="P12" i="6"/>
  <c r="G12" i="6"/>
  <c r="G13" i="6" s="1"/>
  <c r="G14" i="6" s="1"/>
  <c r="G15" i="6" s="1"/>
  <c r="G16" i="6" s="1"/>
  <c r="G17" i="6" s="1"/>
  <c r="P11" i="6"/>
  <c r="E11" i="6"/>
  <c r="E12" i="6" s="1"/>
  <c r="E13" i="6" s="1"/>
  <c r="B11" i="6"/>
  <c r="B12" i="6" s="1"/>
  <c r="B13" i="6" s="1"/>
  <c r="B14" i="6" s="1"/>
  <c r="B15" i="6" s="1"/>
  <c r="B16" i="6" s="1"/>
  <c r="B17" i="6" s="1"/>
  <c r="B18" i="6" s="1"/>
  <c r="B19" i="6" s="1"/>
  <c r="B20" i="6" s="1"/>
  <c r="B21" i="6" s="1"/>
  <c r="B22" i="6" s="1"/>
  <c r="B23" i="6" s="1"/>
  <c r="B24" i="6" s="1"/>
  <c r="B25" i="6" s="1"/>
  <c r="B26" i="6" s="1"/>
  <c r="B27" i="6" s="1"/>
  <c r="B28" i="6" s="1"/>
  <c r="B29" i="6" s="1"/>
  <c r="B30" i="6" s="1"/>
  <c r="B31" i="6" s="1"/>
  <c r="B32" i="6" s="1"/>
  <c r="B34" i="6" s="1"/>
  <c r="B35" i="6" s="1"/>
  <c r="B36" i="6" s="1"/>
  <c r="B37" i="6" s="1"/>
  <c r="B38" i="6" s="1"/>
  <c r="B39" i="6" s="1"/>
  <c r="B40" i="6" s="1"/>
  <c r="B41" i="6" s="1"/>
  <c r="B42" i="6" s="1"/>
  <c r="B43" i="6" s="1"/>
  <c r="B44" i="6" s="1"/>
  <c r="B45" i="6" s="1"/>
  <c r="B46" i="6" s="1"/>
  <c r="B47" i="6" s="1"/>
  <c r="B48" i="6" s="1"/>
  <c r="B49" i="6" s="1"/>
  <c r="B50" i="6" s="1"/>
  <c r="B51" i="6" s="1"/>
  <c r="B52" i="6" s="1"/>
  <c r="B53" i="6" s="1"/>
  <c r="B54" i="6" s="1"/>
  <c r="B55" i="6" s="1"/>
  <c r="B56" i="6" s="1"/>
  <c r="B57" i="6" s="1"/>
  <c r="B58" i="6" s="1"/>
  <c r="B59" i="6" s="1"/>
  <c r="B60" i="6" s="1"/>
  <c r="B61" i="6" s="1"/>
  <c r="B62" i="6" s="1"/>
  <c r="B63" i="6" s="1"/>
  <c r="B64" i="6" s="1"/>
  <c r="B65" i="6" s="1"/>
  <c r="B66" i="6" s="1"/>
  <c r="B67" i="6" s="1"/>
  <c r="B68" i="6" s="1"/>
  <c r="B69" i="6" s="1"/>
  <c r="B70" i="6" s="1"/>
  <c r="B71" i="6" s="1"/>
  <c r="B72" i="6" s="1"/>
  <c r="B73" i="6" s="1"/>
  <c r="B74" i="6" s="1"/>
  <c r="B75" i="6" s="1"/>
  <c r="B76" i="6" s="1"/>
  <c r="B77" i="6" s="1"/>
  <c r="B78" i="6" s="1"/>
  <c r="B79" i="6" s="1"/>
  <c r="B80" i="6" s="1"/>
  <c r="B81" i="6" s="1"/>
  <c r="B82" i="6" s="1"/>
  <c r="B83" i="6" s="1"/>
  <c r="B84" i="6" s="1"/>
  <c r="B87" i="6" s="1"/>
  <c r="B90" i="6" s="1"/>
  <c r="B91" i="6" s="1"/>
  <c r="B92" i="6" s="1"/>
  <c r="B93" i="6" s="1"/>
  <c r="B94" i="6" s="1"/>
  <c r="B95" i="6" s="1"/>
  <c r="B96" i="6" s="1"/>
  <c r="B97" i="6" s="1"/>
  <c r="B98" i="6" s="1"/>
  <c r="B99" i="6" s="1"/>
  <c r="B100" i="6" s="1"/>
  <c r="B101" i="6" s="1"/>
  <c r="B102" i="6" s="1"/>
  <c r="B103" i="6" s="1"/>
  <c r="B104" i="6" s="1"/>
  <c r="B105" i="6" s="1"/>
  <c r="B106" i="6" s="1"/>
  <c r="B107" i="6" s="1"/>
  <c r="B108" i="6" s="1"/>
  <c r="B109" i="6" s="1"/>
  <c r="B110" i="6" s="1"/>
  <c r="B111" i="6" s="1"/>
  <c r="B112" i="6" s="1"/>
  <c r="B113" i="6" s="1"/>
  <c r="B114" i="6" s="1"/>
  <c r="B115" i="6" s="1"/>
  <c r="B116" i="6" s="1"/>
  <c r="A11" i="6"/>
  <c r="A12" i="6" s="1"/>
  <c r="A13" i="6" s="1"/>
  <c r="A14" i="6" s="1"/>
  <c r="A15" i="6" s="1"/>
  <c r="A16" i="6" s="1"/>
  <c r="A17" i="6" s="1"/>
  <c r="A18" i="6" s="1"/>
  <c r="P10" i="6"/>
  <c r="P9" i="6"/>
  <c r="G9" i="6"/>
  <c r="G10" i="6" s="1"/>
  <c r="A9" i="6"/>
  <c r="P8" i="6"/>
  <c r="E8" i="6"/>
  <c r="E9" i="6" s="1"/>
  <c r="D8" i="6"/>
  <c r="D9" i="6" s="1"/>
  <c r="D10" i="6" s="1"/>
  <c r="D11" i="6" s="1"/>
  <c r="D12" i="6" s="1"/>
  <c r="D13" i="6" s="1"/>
  <c r="D14" i="6" s="1"/>
  <c r="D15" i="6" s="1"/>
  <c r="D16" i="6" s="1"/>
  <c r="D17" i="6" s="1"/>
  <c r="D18" i="6" s="1"/>
  <c r="D19" i="6" s="1"/>
  <c r="D20" i="6" s="1"/>
  <c r="D21" i="6" s="1"/>
  <c r="D22" i="6" s="1"/>
  <c r="D23" i="6" s="1"/>
  <c r="D24" i="6" s="1"/>
  <c r="D25" i="6" s="1"/>
  <c r="D26" i="6" s="1"/>
  <c r="D27" i="6" s="1"/>
  <c r="D28" i="6" s="1"/>
  <c r="D29" i="6" s="1"/>
  <c r="D30" i="6" s="1"/>
  <c r="D31" i="6" s="1"/>
  <c r="B8" i="6"/>
  <c r="B9" i="6" s="1"/>
  <c r="P7" i="6"/>
  <c r="G7" i="6"/>
  <c r="P6" i="6"/>
  <c r="E6" i="6"/>
  <c r="E5" i="6" s="1"/>
  <c r="E4" i="6" s="1"/>
  <c r="E3" i="6" s="1"/>
  <c r="E2" i="6" s="1"/>
  <c r="B6" i="6"/>
  <c r="A6" i="6"/>
  <c r="P5" i="6"/>
  <c r="D5" i="6"/>
  <c r="D6" i="6" s="1"/>
  <c r="P4" i="6"/>
  <c r="G4" i="6"/>
  <c r="G5" i="6" s="1"/>
  <c r="P3" i="6"/>
  <c r="D3" i="6"/>
  <c r="D2" i="6" s="1"/>
  <c r="B3" i="6"/>
  <c r="B4" i="6" s="1"/>
  <c r="A3" i="6"/>
  <c r="A4" i="6" s="1"/>
  <c r="G2" i="6"/>
  <c r="O13" i="5" a="1"/>
  <c r="O25" i="5" a="1"/>
  <c r="O26" i="5" a="1"/>
  <c r="O6" i="7" a="1"/>
  <c r="O32" i="5" a="1"/>
  <c r="O31" i="5" a="1"/>
  <c r="O20" i="5" a="1"/>
  <c r="O19" i="5" a="1"/>
  <c r="O14" i="5" a="1"/>
  <c r="B4" i="25" l="1"/>
  <c r="B19" i="25" s="1"/>
  <c r="B4" i="24"/>
  <c r="B19" i="24" s="1"/>
  <c r="B7" i="25"/>
  <c r="B22" i="25" s="1"/>
  <c r="B6" i="25"/>
  <c r="B21" i="25" s="1"/>
  <c r="B7" i="24"/>
  <c r="B22" i="24" s="1"/>
  <c r="B6" i="24"/>
  <c r="B21" i="24" s="1"/>
  <c r="B5" i="25"/>
  <c r="B20" i="25" s="1"/>
  <c r="B5" i="24"/>
  <c r="B20" i="24" s="1"/>
  <c r="I12" i="23"/>
  <c r="I12" i="25"/>
  <c r="I27" i="25" s="1"/>
  <c r="H12" i="25"/>
  <c r="H27" i="25" s="1"/>
  <c r="H12" i="23"/>
  <c r="H12" i="24"/>
  <c r="H27" i="24" s="1"/>
  <c r="G12" i="24"/>
  <c r="G27" i="24" s="1"/>
  <c r="C19" i="29"/>
  <c r="I12" i="24"/>
  <c r="I27" i="24" s="1"/>
  <c r="J12" i="25"/>
  <c r="J27" i="25" s="1"/>
  <c r="J12" i="23"/>
  <c r="G12" i="25"/>
  <c r="G27" i="25" s="1"/>
  <c r="F12" i="24"/>
  <c r="F27" i="24" s="1"/>
  <c r="G12" i="23"/>
  <c r="B7" i="23"/>
  <c r="B4" i="23"/>
  <c r="B5" i="23"/>
  <c r="B6" i="23"/>
  <c r="C16" i="29"/>
  <c r="C22" i="29" s="1"/>
  <c r="C25" i="29" s="1"/>
  <c r="O6" i="7"/>
  <c r="F6" i="7" s="1" a="1"/>
  <c r="F6" i="7" s="1"/>
  <c r="H7" i="7"/>
  <c r="L7" i="7"/>
  <c r="N4" i="8"/>
  <c r="O31" i="5"/>
  <c r="O25" i="5"/>
  <c r="O26" i="5"/>
  <c r="O20" i="5"/>
  <c r="O19" i="5"/>
  <c r="O13" i="5"/>
  <c r="O14" i="5"/>
  <c r="O32" i="5"/>
  <c r="F49" i="6"/>
  <c r="F50" i="6" s="1"/>
  <c r="F51" i="6" s="1"/>
  <c r="F52" i="6" s="1"/>
  <c r="F53" i="6" s="1"/>
  <c r="F54" i="6" s="1"/>
  <c r="F55" i="6" s="1"/>
  <c r="F56" i="6" s="1"/>
  <c r="F57" i="6" s="1"/>
  <c r="F58" i="6" s="1"/>
  <c r="F59" i="6" s="1"/>
  <c r="F60" i="6" s="1"/>
  <c r="F61" i="6" s="1"/>
  <c r="F62" i="6" s="1"/>
  <c r="F63" i="6" s="1"/>
  <c r="F64" i="6" s="1"/>
  <c r="F65" i="6" s="1"/>
  <c r="F66" i="6" s="1"/>
  <c r="F67" i="6" s="1"/>
  <c r="F68" i="6" s="1"/>
  <c r="F69" i="6" s="1"/>
  <c r="F70" i="6" s="1"/>
  <c r="F71" i="6" s="1"/>
  <c r="F72" i="6" s="1"/>
  <c r="F73" i="6" s="1"/>
  <c r="F74" i="6" s="1"/>
  <c r="F75" i="6" s="1"/>
  <c r="C47" i="6"/>
  <c r="C46" i="6" s="1"/>
  <c r="C45" i="6" s="1"/>
  <c r="C44" i="6" s="1"/>
  <c r="C43" i="6" s="1"/>
  <c r="C42" i="6" s="1"/>
  <c r="C41" i="6" s="1"/>
  <c r="C40" i="6" s="1"/>
  <c r="C39" i="6" s="1"/>
  <c r="C38" i="6" s="1"/>
  <c r="C37" i="6" s="1"/>
  <c r="C36" i="6" s="1"/>
  <c r="C35" i="6" s="1"/>
  <c r="C34" i="6" s="1"/>
  <c r="C33" i="6" s="1"/>
  <c r="C32" i="6" s="1"/>
  <c r="C31" i="6" s="1"/>
  <c r="C30" i="6" s="1"/>
  <c r="C29" i="6" s="1"/>
  <c r="C28" i="6" s="1"/>
  <c r="C27" i="6" s="1"/>
  <c r="C26" i="6" s="1"/>
  <c r="C25" i="6" s="1"/>
  <c r="C24" i="6" s="1"/>
  <c r="C23" i="6" s="1"/>
  <c r="C22" i="6" s="1"/>
  <c r="C21" i="6" s="1"/>
  <c r="C20" i="6" s="1"/>
  <c r="C19" i="6" s="1"/>
  <c r="C18" i="6" s="1"/>
  <c r="C17" i="6" s="1"/>
  <c r="C16" i="6" s="1"/>
  <c r="C15" i="6" s="1"/>
  <c r="C14" i="6" s="1"/>
  <c r="C13" i="6" s="1"/>
  <c r="C12" i="6" s="1"/>
  <c r="C11" i="6" s="1"/>
  <c r="C10" i="6" s="1"/>
  <c r="C9" i="6" s="1"/>
  <c r="C8" i="6" s="1"/>
  <c r="C7" i="6" s="1"/>
  <c r="C6" i="6" s="1"/>
  <c r="C5" i="6" s="1"/>
  <c r="C4" i="6" s="1"/>
  <c r="C3" i="6" s="1"/>
  <c r="C2" i="6" s="1"/>
  <c r="B13" i="23" l="1"/>
  <c r="A13" i="23" s="1"/>
  <c r="B13" i="25"/>
  <c r="B28" i="25"/>
  <c r="B16" i="29"/>
  <c r="M16" i="29" s="1" a="1"/>
  <c r="M16" i="29" s="1"/>
  <c r="B19" i="29"/>
  <c r="H8" i="7"/>
  <c r="I8" i="7" s="1"/>
  <c r="L8" i="7"/>
  <c r="F7" i="7" a="1"/>
  <c r="F7" i="7" s="1"/>
  <c r="F8" i="7" a="1"/>
  <c r="F8" i="7" s="1"/>
  <c r="N5" i="8" a="1"/>
  <c r="N5" i="8" s="1"/>
  <c r="D8" i="7" s="1"/>
  <c r="N6" i="8" a="1"/>
  <c r="N6" i="8" s="1"/>
  <c r="C8" i="7" s="1"/>
  <c r="K37" i="5"/>
  <c r="K38" i="5"/>
  <c r="J38" i="5" s="1"/>
  <c r="K36" i="5"/>
  <c r="L32" i="5"/>
  <c r="L31" i="5"/>
  <c r="K29" i="5"/>
  <c r="K33" i="5" s="1"/>
  <c r="L26" i="5"/>
  <c r="L25" i="5"/>
  <c r="K23" i="5"/>
  <c r="K27" i="5" s="1"/>
  <c r="L20" i="5"/>
  <c r="L19" i="5"/>
  <c r="K17" i="5"/>
  <c r="K21" i="5" s="1"/>
  <c r="L14" i="5"/>
  <c r="L13" i="5"/>
  <c r="K11" i="5"/>
  <c r="K15" i="5" s="1"/>
  <c r="K8" i="5"/>
  <c r="K7" i="5"/>
  <c r="J7" i="5" s="1"/>
  <c r="T32" i="5"/>
  <c r="S32" i="5"/>
  <c r="T31" i="5"/>
  <c r="S31" i="5"/>
  <c r="T26" i="5"/>
  <c r="S26" i="5"/>
  <c r="T25" i="5"/>
  <c r="S25" i="5"/>
  <c r="T20" i="5"/>
  <c r="S20" i="5"/>
  <c r="T19" i="5"/>
  <c r="S19" i="5"/>
  <c r="T14" i="5"/>
  <c r="S14" i="5"/>
  <c r="T13" i="5"/>
  <c r="S13" i="5"/>
  <c r="T8" i="5"/>
  <c r="S8" i="5"/>
  <c r="T5" i="1"/>
  <c r="S5" i="1"/>
  <c r="K5" i="5"/>
  <c r="O38" i="5" a="1"/>
  <c r="O37" i="5" a="1"/>
  <c r="O17" i="5" a="1"/>
  <c r="O29" i="5" a="1"/>
  <c r="O36" i="5" a="1"/>
  <c r="O7" i="5" a="1"/>
  <c r="O23" i="5" a="1"/>
  <c r="O8" i="5" a="1"/>
  <c r="O11" i="5" a="1"/>
  <c r="O5" i="5" a="1"/>
  <c r="C28" i="25" l="1"/>
  <c r="C13" i="25"/>
  <c r="K13" i="25"/>
  <c r="J13" i="25"/>
  <c r="I13" i="25"/>
  <c r="H28" i="25"/>
  <c r="H13" i="25"/>
  <c r="G28" i="25"/>
  <c r="F28" i="25"/>
  <c r="K28" i="25"/>
  <c r="F13" i="25"/>
  <c r="J28" i="25"/>
  <c r="D13" i="25"/>
  <c r="I28" i="25"/>
  <c r="G13" i="25"/>
  <c r="D28" i="25"/>
  <c r="E28" i="25"/>
  <c r="E13" i="25"/>
  <c r="B13" i="24"/>
  <c r="B28" i="24"/>
  <c r="A13" i="25"/>
  <c r="A28" i="25"/>
  <c r="F16" i="29" a="1"/>
  <c r="F16" i="29" s="1"/>
  <c r="F22" i="29" s="1"/>
  <c r="F25" i="29" s="1"/>
  <c r="N16" i="29" a="1"/>
  <c r="N16" i="29" s="1"/>
  <c r="G16" i="29" a="1"/>
  <c r="G16" i="29" s="1"/>
  <c r="H16" i="29" a="1"/>
  <c r="H16" i="29" s="1"/>
  <c r="O16" i="29" a="1"/>
  <c r="O16" i="29" s="1"/>
  <c r="E16" i="29" a="1"/>
  <c r="E16" i="29" s="1"/>
  <c r="E22" i="29" s="1"/>
  <c r="B2" i="22" s="1"/>
  <c r="D16" i="29" a="1"/>
  <c r="D16" i="29" s="1"/>
  <c r="D22" i="29" s="1"/>
  <c r="D25" i="29" s="1"/>
  <c r="L16" i="29" a="1"/>
  <c r="L16" i="29" s="1"/>
  <c r="P16" i="29" a="1"/>
  <c r="P16" i="29" s="1"/>
  <c r="J16" i="29" a="1"/>
  <c r="J16" i="29" s="1"/>
  <c r="I16" i="29" a="1"/>
  <c r="I16" i="29" s="1"/>
  <c r="K16" i="29" a="1"/>
  <c r="K16" i="29" s="1"/>
  <c r="P19" i="29" a="1"/>
  <c r="P19" i="29" s="1"/>
  <c r="H19" i="29" a="1"/>
  <c r="H19" i="29" s="1"/>
  <c r="O19" i="29" a="1"/>
  <c r="O19" i="29" s="1"/>
  <c r="G19" i="29" a="1"/>
  <c r="G19" i="29" s="1"/>
  <c r="N19" i="29" a="1"/>
  <c r="N19" i="29" s="1"/>
  <c r="M19" i="29" a="1"/>
  <c r="M19" i="29" s="1"/>
  <c r="M22" i="29" s="1"/>
  <c r="M25" i="29" s="1"/>
  <c r="L19" i="29" a="1"/>
  <c r="L19" i="29" s="1"/>
  <c r="K19" i="29" a="1"/>
  <c r="K19" i="29" s="1"/>
  <c r="J19" i="29" a="1"/>
  <c r="J19" i="29" s="1"/>
  <c r="I19" i="29" a="1"/>
  <c r="I19" i="29" s="1"/>
  <c r="K9" i="5"/>
  <c r="H34" i="5" s="1"/>
  <c r="J23" i="5"/>
  <c r="J17" i="5"/>
  <c r="J29" i="5"/>
  <c r="J11" i="5"/>
  <c r="L22" i="5"/>
  <c r="I22" i="5" s="1"/>
  <c r="I99" i="16" s="1"/>
  <c r="L29" i="5"/>
  <c r="L11" i="5"/>
  <c r="L30" i="5"/>
  <c r="L12" i="5"/>
  <c r="L23" i="5"/>
  <c r="L36" i="5"/>
  <c r="J36" i="5"/>
  <c r="L17" i="5"/>
  <c r="L5" i="5"/>
  <c r="J5" i="5"/>
  <c r="L8" i="5"/>
  <c r="J8" i="5"/>
  <c r="L37" i="5"/>
  <c r="J37" i="5"/>
  <c r="H11" i="7"/>
  <c r="I11" i="7" s="1"/>
  <c r="H9" i="7"/>
  <c r="L9" i="7"/>
  <c r="F9" i="7" a="1"/>
  <c r="F9" i="7" s="1"/>
  <c r="L38" i="5"/>
  <c r="L40" i="5" s="1"/>
  <c r="O38" i="5"/>
  <c r="F38" i="5" s="1" a="1"/>
  <c r="F38" i="5" s="1"/>
  <c r="O37" i="5"/>
  <c r="F37" i="5" s="1" a="1"/>
  <c r="F37" i="5" s="1"/>
  <c r="O36" i="5"/>
  <c r="F36" i="5" s="1" a="1"/>
  <c r="F36" i="5" s="1"/>
  <c r="F31" i="5" a="1"/>
  <c r="F31" i="5" s="1"/>
  <c r="O29" i="5"/>
  <c r="F29" i="5" s="1" a="1"/>
  <c r="F29" i="5" s="1"/>
  <c r="F32" i="5" a="1"/>
  <c r="F32" i="5" s="1"/>
  <c r="L28" i="5"/>
  <c r="F25" i="5" a="1"/>
  <c r="F25" i="5" s="1"/>
  <c r="O23" i="5"/>
  <c r="F23" i="5" s="1" a="1"/>
  <c r="F23" i="5" s="1"/>
  <c r="F26" i="5" a="1"/>
  <c r="F26" i="5" s="1"/>
  <c r="L24" i="5"/>
  <c r="F19" i="5" a="1"/>
  <c r="F19" i="5" s="1"/>
  <c r="O17" i="5"/>
  <c r="F17" i="5" s="1" a="1"/>
  <c r="F17" i="5" s="1"/>
  <c r="F20" i="5" a="1"/>
  <c r="F20" i="5" s="1"/>
  <c r="L18" i="5"/>
  <c r="L16" i="5"/>
  <c r="F13" i="5" a="1"/>
  <c r="F13" i="5" s="1"/>
  <c r="O11" i="5"/>
  <c r="F11" i="5" s="1" a="1"/>
  <c r="F11" i="5" s="1"/>
  <c r="F14" i="5" a="1"/>
  <c r="F14" i="5" s="1"/>
  <c r="L10" i="5"/>
  <c r="O7" i="5"/>
  <c r="F7" i="5" s="1" a="1"/>
  <c r="F7" i="5" s="1"/>
  <c r="L7" i="5"/>
  <c r="L35" i="5"/>
  <c r="O8" i="5"/>
  <c r="F8" i="5" s="1" a="1"/>
  <c r="F8" i="5" s="1"/>
  <c r="L6" i="5"/>
  <c r="O5" i="5"/>
  <c r="F5" i="5" s="1" a="1"/>
  <c r="F5" i="5" s="1"/>
  <c r="L4" i="5"/>
  <c r="O16" i="5" a="1"/>
  <c r="O10" i="5" a="1"/>
  <c r="O4" i="5" a="1"/>
  <c r="O12" i="5" a="1"/>
  <c r="O24" i="5" a="1"/>
  <c r="O35" i="5" a="1"/>
  <c r="O28" i="5" a="1"/>
  <c r="O30" i="5" a="1"/>
  <c r="O18" i="5" a="1"/>
  <c r="O6" i="5" a="1"/>
  <c r="A28" i="24" l="1"/>
  <c r="J28" i="24"/>
  <c r="I28" i="24"/>
  <c r="I13" i="24"/>
  <c r="H28" i="24"/>
  <c r="H13" i="24"/>
  <c r="F13" i="24"/>
  <c r="E13" i="24"/>
  <c r="D28" i="24"/>
  <c r="C28" i="24"/>
  <c r="G28" i="24"/>
  <c r="G13" i="24"/>
  <c r="D13" i="24"/>
  <c r="E22" i="22" s="1"/>
  <c r="C13" i="24"/>
  <c r="J13" i="24"/>
  <c r="F28" i="24"/>
  <c r="E28" i="24"/>
  <c r="A13" i="24"/>
  <c r="L41" i="5"/>
  <c r="J104" i="20"/>
  <c r="K22" i="29"/>
  <c r="K25" i="29" s="1"/>
  <c r="P22" i="29"/>
  <c r="P25" i="29" s="1"/>
  <c r="J22" i="29"/>
  <c r="J25" i="29" s="1"/>
  <c r="N22" i="29"/>
  <c r="N25" i="29" s="1"/>
  <c r="G22" i="29"/>
  <c r="G25" i="29" s="1"/>
  <c r="I22" i="29"/>
  <c r="I25" i="29" s="1"/>
  <c r="H22" i="29"/>
  <c r="H25" i="29" s="1"/>
  <c r="O22" i="29"/>
  <c r="O25" i="29" s="1"/>
  <c r="E25" i="29"/>
  <c r="C2" i="22"/>
  <c r="L22" i="29"/>
  <c r="L25" i="29" s="1"/>
  <c r="O28" i="5"/>
  <c r="O30" i="5"/>
  <c r="O10" i="5"/>
  <c r="O4" i="5"/>
  <c r="F4" i="5" s="1" a="1"/>
  <c r="F4" i="5" s="1"/>
  <c r="O6" i="5"/>
  <c r="O24" i="5"/>
  <c r="O16" i="5"/>
  <c r="F16" i="5" s="1" a="1"/>
  <c r="F16" i="5" s="1"/>
  <c r="O35" i="5"/>
  <c r="F35" i="5" s="1" a="1"/>
  <c r="F35" i="5" s="1"/>
  <c r="O18" i="5"/>
  <c r="O12" i="5"/>
  <c r="L10" i="7"/>
  <c r="L11" i="7" s="1"/>
  <c r="L12" i="7" s="1"/>
  <c r="H10" i="7"/>
  <c r="I9" i="7"/>
  <c r="F11" i="7" a="1"/>
  <c r="F11" i="7" s="1"/>
  <c r="F10" i="7" a="1"/>
  <c r="F10" i="7" s="1"/>
  <c r="H35" i="5"/>
  <c r="H36" i="5" s="1"/>
  <c r="I28" i="5"/>
  <c r="I100" i="16" s="1"/>
  <c r="I16" i="5"/>
  <c r="I98" i="16" s="1"/>
  <c r="I10" i="5"/>
  <c r="I97" i="16" s="1"/>
  <c r="I4" i="5"/>
  <c r="O40" i="5" a="1"/>
  <c r="O22" i="5" a="1"/>
  <c r="H22" i="22" l="1"/>
  <c r="K22" i="22" s="1"/>
  <c r="N22" i="22"/>
  <c r="W22" i="22"/>
  <c r="B23" i="22"/>
  <c r="C23" i="22"/>
  <c r="I96" i="16"/>
  <c r="J101" i="20" s="1"/>
  <c r="B3" i="22"/>
  <c r="C3" i="22" s="1"/>
  <c r="O40" i="5"/>
  <c r="F40" i="5" s="1" a="1"/>
  <c r="F40" i="5" s="1"/>
  <c r="J103" i="20"/>
  <c r="J105" i="20"/>
  <c r="J102" i="20"/>
  <c r="N22" i="23"/>
  <c r="N8" i="23"/>
  <c r="M8" i="23" s="1"/>
  <c r="N21" i="23"/>
  <c r="N7" i="23"/>
  <c r="M7" i="23" s="1"/>
  <c r="N10" i="23"/>
  <c r="M10" i="23" s="1"/>
  <c r="N20" i="23"/>
  <c r="N6" i="23"/>
  <c r="M6" i="23" s="1"/>
  <c r="N19" i="23"/>
  <c r="N5" i="23"/>
  <c r="M5" i="23" s="1"/>
  <c r="N12" i="23"/>
  <c r="M12" i="23" s="1"/>
  <c r="N4" i="23"/>
  <c r="M4" i="23" s="1"/>
  <c r="N9" i="23"/>
  <c r="M9" i="23" s="1"/>
  <c r="N11" i="23"/>
  <c r="M11" i="23" s="1"/>
  <c r="O22" i="5"/>
  <c r="F22" i="5" s="1" a="1"/>
  <c r="F22" i="5" s="1"/>
  <c r="F24" i="5" a="1"/>
  <c r="F24" i="5" s="1"/>
  <c r="F6" i="5" a="1"/>
  <c r="F6" i="5" s="1"/>
  <c r="F30" i="5" a="1"/>
  <c r="F30" i="5" s="1"/>
  <c r="F12" i="5" a="1"/>
  <c r="F12" i="5" s="1"/>
  <c r="F18" i="5" a="1"/>
  <c r="F18" i="5" s="1"/>
  <c r="H12" i="7"/>
  <c r="I12" i="7" s="1"/>
  <c r="H13" i="7"/>
  <c r="F12" i="7" a="1"/>
  <c r="F12" i="7" s="1"/>
  <c r="L13" i="7"/>
  <c r="L17" i="7" s="1"/>
  <c r="I36" i="5"/>
  <c r="H37" i="5"/>
  <c r="I35" i="5"/>
  <c r="F28" i="5" a="1"/>
  <c r="F28" i="5" s="1"/>
  <c r="F10" i="5" a="1"/>
  <c r="F10" i="5" s="1"/>
  <c r="H6" i="5"/>
  <c r="K5" i="1"/>
  <c r="J5" i="1" s="1"/>
  <c r="O5" i="1" a="1"/>
  <c r="T22" i="22" l="1"/>
  <c r="Q22" i="22"/>
  <c r="D23" i="22"/>
  <c r="L4" i="23"/>
  <c r="H8" i="5"/>
  <c r="I8" i="5" s="1"/>
  <c r="H7" i="5"/>
  <c r="I7" i="5" s="1"/>
  <c r="H16" i="7"/>
  <c r="H17" i="7" s="1"/>
  <c r="I17" i="7" s="1"/>
  <c r="J7" i="1"/>
  <c r="L18" i="7"/>
  <c r="L19" i="7" s="1"/>
  <c r="M19" i="7" s="1"/>
  <c r="F19" i="7" s="1" a="1"/>
  <c r="F19" i="7" s="1"/>
  <c r="I13" i="7"/>
  <c r="F13" i="7" a="1"/>
  <c r="F13" i="7" s="1"/>
  <c r="H38" i="5"/>
  <c r="I37" i="5"/>
  <c r="H12" i="5"/>
  <c r="I11" i="5"/>
  <c r="H30" i="5"/>
  <c r="I29" i="5"/>
  <c r="H24" i="5"/>
  <c r="I23" i="5"/>
  <c r="H18" i="5"/>
  <c r="I17" i="5"/>
  <c r="I6" i="5"/>
  <c r="I5" i="5"/>
  <c r="O5" i="1"/>
  <c r="F5" i="1" s="1" a="1"/>
  <c r="F5" i="1" s="1"/>
  <c r="C96" i="16" l="1"/>
  <c r="D101" i="20" s="1"/>
  <c r="L6" i="23"/>
  <c r="S6" i="23" s="1"/>
  <c r="T6" i="23" s="1"/>
  <c r="U6" i="23" s="1"/>
  <c r="O5" i="23"/>
  <c r="P12" i="23"/>
  <c r="L8" i="23"/>
  <c r="S8" i="23" s="1"/>
  <c r="T8" i="23" s="1"/>
  <c r="U8" i="23" s="1"/>
  <c r="P11" i="23"/>
  <c r="Q11" i="23" s="1"/>
  <c r="P10" i="23"/>
  <c r="Q10" i="23" s="1"/>
  <c r="L7" i="23"/>
  <c r="S7" i="23" s="1"/>
  <c r="T7" i="23" s="1"/>
  <c r="U7" i="23" s="1"/>
  <c r="O9" i="23"/>
  <c r="R4" i="23"/>
  <c r="O4" i="23"/>
  <c r="P5" i="23"/>
  <c r="Q5" i="23" s="1"/>
  <c r="M13" i="23"/>
  <c r="E23" i="22" s="1"/>
  <c r="L5" i="23"/>
  <c r="V5" i="23" s="1"/>
  <c r="P4" i="23"/>
  <c r="S4" i="23"/>
  <c r="V4" i="23"/>
  <c r="H20" i="5"/>
  <c r="I20" i="5" s="1"/>
  <c r="H19" i="5"/>
  <c r="I19" i="5" s="1"/>
  <c r="H32" i="5"/>
  <c r="I32" i="5" s="1"/>
  <c r="H31" i="5"/>
  <c r="I31" i="5" s="1"/>
  <c r="H26" i="5"/>
  <c r="I26" i="5" s="1"/>
  <c r="H25" i="5"/>
  <c r="I25" i="5" s="1"/>
  <c r="H14" i="5"/>
  <c r="H13" i="5"/>
  <c r="I13" i="5" s="1"/>
  <c r="I16" i="7"/>
  <c r="H14" i="7"/>
  <c r="H15" i="7"/>
  <c r="H40" i="5"/>
  <c r="I74" i="16" s="1"/>
  <c r="L20" i="7"/>
  <c r="H18" i="7"/>
  <c r="I18" i="7" s="1"/>
  <c r="I38" i="5"/>
  <c r="L9" i="5"/>
  <c r="O9" i="5" s="1"/>
  <c r="I24" i="5"/>
  <c r="C99" i="16" s="1"/>
  <c r="D104" i="20" s="1"/>
  <c r="I18" i="5"/>
  <c r="I30" i="5"/>
  <c r="C100" i="16" s="1"/>
  <c r="D105" i="20" s="1"/>
  <c r="I12" i="5"/>
  <c r="J4" i="1"/>
  <c r="C98" i="16" l="1"/>
  <c r="D103" i="20" s="1"/>
  <c r="D41" i="5"/>
  <c r="L37" i="16"/>
  <c r="C37" i="16" s="1"/>
  <c r="R6" i="23"/>
  <c r="P6" i="23"/>
  <c r="Q6" i="23" s="1"/>
  <c r="O6" i="23"/>
  <c r="O13" i="23" s="1"/>
  <c r="H23" i="22" s="1"/>
  <c r="V6" i="23"/>
  <c r="L12" i="23"/>
  <c r="S12" i="23" s="1"/>
  <c r="T12" i="23" s="1"/>
  <c r="U12" i="23" s="1"/>
  <c r="R12" i="23"/>
  <c r="O8" i="23"/>
  <c r="R10" i="23"/>
  <c r="R5" i="23"/>
  <c r="R11" i="23"/>
  <c r="L10" i="23"/>
  <c r="S10" i="23" s="1"/>
  <c r="T10" i="23" s="1"/>
  <c r="U10" i="23" s="1"/>
  <c r="V8" i="23"/>
  <c r="O12" i="23"/>
  <c r="O7" i="23"/>
  <c r="O10" i="23"/>
  <c r="O11" i="23"/>
  <c r="R7" i="23"/>
  <c r="P8" i="23"/>
  <c r="Q8" i="23" s="1"/>
  <c r="V7" i="23"/>
  <c r="L11" i="23"/>
  <c r="S11" i="23" s="1"/>
  <c r="T11" i="23" s="1"/>
  <c r="U11" i="23" s="1"/>
  <c r="P9" i="23"/>
  <c r="Q9" i="23" s="1"/>
  <c r="P7" i="23"/>
  <c r="Q7" i="23" s="1"/>
  <c r="R9" i="23"/>
  <c r="L9" i="23"/>
  <c r="V9" i="23" s="1"/>
  <c r="N13" i="23"/>
  <c r="S5" i="23"/>
  <c r="T5" i="23" s="1"/>
  <c r="U5" i="23" s="1"/>
  <c r="L13" i="23"/>
  <c r="T4" i="23"/>
  <c r="S13" i="23"/>
  <c r="N23" i="22" s="1"/>
  <c r="Q4" i="23"/>
  <c r="I4" i="1"/>
  <c r="H39" i="5"/>
  <c r="L21" i="7"/>
  <c r="H24" i="7" s="1"/>
  <c r="H19" i="7"/>
  <c r="H55" i="5"/>
  <c r="H47" i="5"/>
  <c r="H54" i="5"/>
  <c r="H46" i="5"/>
  <c r="H53" i="5"/>
  <c r="H45" i="5"/>
  <c r="H52" i="5"/>
  <c r="H44" i="5"/>
  <c r="H51" i="5"/>
  <c r="H43" i="5"/>
  <c r="H50" i="5"/>
  <c r="H49" i="5"/>
  <c r="H48" i="5"/>
  <c r="H42" i="5"/>
  <c r="L33" i="5"/>
  <c r="O33" i="5" s="1"/>
  <c r="L27" i="5"/>
  <c r="O27" i="5" s="1"/>
  <c r="L21" i="5"/>
  <c r="O21" i="5" s="1"/>
  <c r="I14" i="5"/>
  <c r="L15" i="5" s="1"/>
  <c r="O15" i="5" s="1"/>
  <c r="L4" i="1"/>
  <c r="Q13" i="23" l="1"/>
  <c r="P13" i="23"/>
  <c r="M4" i="1"/>
  <c r="F4" i="1" s="1" a="1"/>
  <c r="F4" i="1" s="1"/>
  <c r="C97" i="16"/>
  <c r="D102" i="20" s="1"/>
  <c r="V12" i="23"/>
  <c r="V13" i="23" s="1"/>
  <c r="W23" i="22" s="1"/>
  <c r="V11" i="23"/>
  <c r="V10" i="23"/>
  <c r="S9" i="23"/>
  <c r="T9" i="23" s="1"/>
  <c r="U9" i="23" s="1"/>
  <c r="N23" i="23"/>
  <c r="P20" i="23"/>
  <c r="Q20" i="23" s="1"/>
  <c r="P22" i="23"/>
  <c r="Q22" i="23" s="1"/>
  <c r="P21" i="23"/>
  <c r="Q21" i="23" s="1"/>
  <c r="P19" i="23"/>
  <c r="U4" i="23"/>
  <c r="U13" i="23" s="1"/>
  <c r="T23" i="22" s="1"/>
  <c r="T13" i="23"/>
  <c r="Q23" i="22" s="1"/>
  <c r="D44" i="5"/>
  <c r="B20" i="22" s="1"/>
  <c r="H22" i="7"/>
  <c r="I24" i="7"/>
  <c r="H23" i="7"/>
  <c r="L24" i="7"/>
  <c r="I87" i="10" s="1"/>
  <c r="M21" i="7"/>
  <c r="I19" i="7"/>
  <c r="H20" i="7"/>
  <c r="H5" i="1"/>
  <c r="I5" i="1" s="1"/>
  <c r="L5" i="1"/>
  <c r="L6" i="1" s="1"/>
  <c r="M7" i="1" s="1"/>
  <c r="D45" i="5"/>
  <c r="C20" i="22" s="1"/>
  <c r="I40" i="5"/>
  <c r="E2" i="22" s="1"/>
  <c r="I75" i="16" l="1"/>
  <c r="B75" i="16"/>
  <c r="C31" i="22"/>
  <c r="I31" i="22"/>
  <c r="J31" i="22" s="1"/>
  <c r="F31" i="22"/>
  <c r="G31" i="22" s="1"/>
  <c r="E20" i="22"/>
  <c r="F20" i="22"/>
  <c r="Q19" i="23"/>
  <c r="Q23" i="23" s="1"/>
  <c r="P23" i="23"/>
  <c r="M6" i="1"/>
  <c r="B10" i="22"/>
  <c r="B11" i="22"/>
  <c r="H33" i="7"/>
  <c r="H32" i="7"/>
  <c r="L26" i="7"/>
  <c r="L38" i="16" s="1"/>
  <c r="F21" i="7" a="1"/>
  <c r="F21" i="7" s="1"/>
  <c r="M26" i="7"/>
  <c r="I20" i="7"/>
  <c r="H21" i="7"/>
  <c r="I21" i="7" s="1"/>
  <c r="C88" i="16" s="1"/>
  <c r="H6" i="1"/>
  <c r="L7" i="1"/>
  <c r="D46" i="5"/>
  <c r="O6" i="1" a="1"/>
  <c r="B36" i="8" l="1"/>
  <c r="B6" i="9" s="1"/>
  <c r="C22" i="22" s="1"/>
  <c r="D93" i="20"/>
  <c r="O6" i="1"/>
  <c r="F6" i="1" s="1" a="1"/>
  <c r="F6" i="1" s="1"/>
  <c r="M8" i="1"/>
  <c r="M9" i="1" s="1"/>
  <c r="F7" i="1" a="1"/>
  <c r="F7" i="1" s="1"/>
  <c r="X31" i="22"/>
  <c r="Y31" i="22" s="1"/>
  <c r="D31" i="22"/>
  <c r="L31" i="22"/>
  <c r="M31" i="22" s="1"/>
  <c r="O31" i="22"/>
  <c r="W20" i="22"/>
  <c r="N20" i="22"/>
  <c r="K20" i="22"/>
  <c r="H20" i="22"/>
  <c r="C38" i="16"/>
  <c r="X20" i="22"/>
  <c r="I20" i="22"/>
  <c r="O20" i="22"/>
  <c r="L20" i="22"/>
  <c r="G20" i="22"/>
  <c r="G21" i="22" s="1"/>
  <c r="G27" i="20"/>
  <c r="F27" i="20"/>
  <c r="I6" i="1"/>
  <c r="H7" i="1"/>
  <c r="D47" i="5"/>
  <c r="E26" i="7"/>
  <c r="H47" i="7"/>
  <c r="H46" i="7"/>
  <c r="H45" i="7"/>
  <c r="H44" i="7"/>
  <c r="H43" i="7"/>
  <c r="H35" i="7"/>
  <c r="H34" i="7"/>
  <c r="H28" i="7"/>
  <c r="H39" i="7"/>
  <c r="H31" i="7"/>
  <c r="H38" i="7"/>
  <c r="H30" i="7"/>
  <c r="H36" i="7"/>
  <c r="H42" i="7"/>
  <c r="H41" i="7"/>
  <c r="H40" i="7"/>
  <c r="H37" i="7"/>
  <c r="H29" i="7"/>
  <c r="L8" i="1"/>
  <c r="E34" i="25" l="1"/>
  <c r="D52" i="5"/>
  <c r="D51" i="5"/>
  <c r="E35" i="25"/>
  <c r="E22" i="23"/>
  <c r="M22" i="23" s="1"/>
  <c r="E36" i="25"/>
  <c r="E37" i="25"/>
  <c r="E20" i="23"/>
  <c r="M20" i="23" s="1"/>
  <c r="O20" i="23" s="1"/>
  <c r="E19" i="23"/>
  <c r="M19" i="23" s="1"/>
  <c r="O19" i="23" s="1"/>
  <c r="E21" i="23"/>
  <c r="M21" i="23" s="1"/>
  <c r="L21" i="23" s="1"/>
  <c r="V21" i="23" s="1"/>
  <c r="E88" i="16"/>
  <c r="F93" i="20" s="1"/>
  <c r="M20" i="22"/>
  <c r="M21" i="22" s="1"/>
  <c r="Y20" i="22"/>
  <c r="Y21" i="22" s="1"/>
  <c r="B76" i="16"/>
  <c r="I76" i="16"/>
  <c r="L9" i="1"/>
  <c r="L39" i="16" s="1"/>
  <c r="C39" i="16" s="1"/>
  <c r="U31" i="22"/>
  <c r="V31" i="22" s="1"/>
  <c r="R31" i="22"/>
  <c r="S31" i="22" s="1"/>
  <c r="P31" i="22"/>
  <c r="J20" i="22"/>
  <c r="J21" i="22" s="1"/>
  <c r="T20" i="22"/>
  <c r="Q20" i="22"/>
  <c r="U20" i="22"/>
  <c r="R20" i="22"/>
  <c r="P20" i="22"/>
  <c r="P21" i="22" s="1"/>
  <c r="H8" i="1"/>
  <c r="I8" i="1" s="1"/>
  <c r="I7" i="1"/>
  <c r="C101" i="16" s="1"/>
  <c r="D106" i="20" s="1"/>
  <c r="F8" i="1" a="1"/>
  <c r="F8" i="1" s="1"/>
  <c r="E38" i="25" l="1"/>
  <c r="F22" i="22" s="1"/>
  <c r="I22" i="22" s="1"/>
  <c r="D53" i="5"/>
  <c r="D54" i="5" s="1"/>
  <c r="M23" i="23"/>
  <c r="M28" i="23" s="1"/>
  <c r="D49" i="5"/>
  <c r="D48" i="5"/>
  <c r="E23" i="23"/>
  <c r="L20" i="23"/>
  <c r="S20" i="23" s="1"/>
  <c r="T20" i="23" s="1"/>
  <c r="R20" i="23"/>
  <c r="L19" i="23"/>
  <c r="S19" i="23" s="1"/>
  <c r="T19" i="23" s="1"/>
  <c r="U19" i="23" s="1"/>
  <c r="R21" i="23"/>
  <c r="S21" i="23"/>
  <c r="U21" i="23" s="1"/>
  <c r="O21" i="23"/>
  <c r="R19" i="23"/>
  <c r="R22" i="23"/>
  <c r="L22" i="23"/>
  <c r="O22" i="23"/>
  <c r="S20" i="22"/>
  <c r="S21" i="22" s="1"/>
  <c r="V20" i="22"/>
  <c r="V21" i="22" s="1"/>
  <c r="D9" i="1"/>
  <c r="H10" i="1"/>
  <c r="H15" i="1"/>
  <c r="H11" i="1"/>
  <c r="O22" i="22" l="1"/>
  <c r="U22" i="22" s="1"/>
  <c r="V22" i="22" s="1"/>
  <c r="G22" i="22"/>
  <c r="X22" i="22"/>
  <c r="Y22" i="22" s="1"/>
  <c r="O23" i="23"/>
  <c r="O28" i="23" s="1"/>
  <c r="L22" i="22"/>
  <c r="M22" i="22" s="1"/>
  <c r="J22" i="22"/>
  <c r="F23" i="22"/>
  <c r="G23" i="22" s="1"/>
  <c r="R23" i="23"/>
  <c r="V19" i="23"/>
  <c r="V20" i="23"/>
  <c r="U20" i="23"/>
  <c r="T21" i="23"/>
  <c r="S22" i="23"/>
  <c r="V22" i="23"/>
  <c r="L23" i="23"/>
  <c r="H13" i="1"/>
  <c r="H12" i="1"/>
  <c r="H14" i="1"/>
  <c r="J19" i="10"/>
  <c r="M19" i="10"/>
  <c r="I20" i="10" s="1"/>
  <c r="E101" i="16" l="1"/>
  <c r="F106" i="20" s="1"/>
  <c r="I23" i="22"/>
  <c r="J23" i="22" s="1"/>
  <c r="P22" i="22"/>
  <c r="R22" i="22"/>
  <c r="S22" i="22" s="1"/>
  <c r="L23" i="22"/>
  <c r="V23" i="23"/>
  <c r="V28" i="23" s="1"/>
  <c r="T22" i="23"/>
  <c r="T23" i="23" s="1"/>
  <c r="U22" i="23"/>
  <c r="U23" i="23" s="1"/>
  <c r="S23" i="23"/>
  <c r="B6" i="22"/>
  <c r="J20" i="10"/>
  <c r="M20" i="10"/>
  <c r="I21" i="10" s="1"/>
  <c r="K19" i="10"/>
  <c r="C6" i="22" l="1"/>
  <c r="X23" i="22"/>
  <c r="Y23" i="22" s="1"/>
  <c r="M21" i="10"/>
  <c r="I22" i="10" s="1"/>
  <c r="J22" i="10" s="1"/>
  <c r="T28" i="23"/>
  <c r="R23" i="22"/>
  <c r="S28" i="23"/>
  <c r="O23" i="22"/>
  <c r="U28" i="23"/>
  <c r="U23" i="22"/>
  <c r="V23" i="22" s="1"/>
  <c r="T24" i="22"/>
  <c r="J21" i="10" l="1"/>
  <c r="M22" i="10"/>
  <c r="I26" i="10" s="1"/>
  <c r="P23" i="22"/>
  <c r="S23" i="22"/>
  <c r="J26" i="10" l="1"/>
  <c r="I27" i="10"/>
  <c r="B5" i="22"/>
  <c r="R8" i="23"/>
  <c r="R13" i="23" s="1"/>
  <c r="J27" i="10" l="1"/>
  <c r="R8" i="12" s="1"/>
  <c r="I28" i="10"/>
  <c r="K23" i="22"/>
  <c r="M23" i="22" s="1"/>
  <c r="R28" i="23"/>
  <c r="C5" i="22"/>
  <c r="I25" i="10"/>
  <c r="I24" i="10"/>
  <c r="I29" i="10" l="1"/>
  <c r="J28" i="10"/>
  <c r="AG5" i="30"/>
  <c r="J29" i="10" l="1"/>
  <c r="I30" i="10"/>
  <c r="E8" i="12"/>
  <c r="F48" i="10" s="1"/>
  <c r="AZ5" i="30" s="1"/>
  <c r="B8" i="12"/>
  <c r="S8" i="12" s="1"/>
  <c r="J30" i="10" l="1"/>
  <c r="R9" i="12" s="1"/>
  <c r="I31" i="10"/>
  <c r="B9" i="12"/>
  <c r="E9" i="12"/>
  <c r="F56" i="10" s="1"/>
  <c r="BH5" i="30" s="1"/>
  <c r="I32" i="10" l="1"/>
  <c r="J31" i="10"/>
  <c r="S9" i="12"/>
  <c r="M43" i="10"/>
  <c r="M44" i="10" s="1"/>
  <c r="M45" i="10" l="1"/>
  <c r="L46" i="10" s="1"/>
  <c r="J32" i="10"/>
  <c r="I33" i="10"/>
  <c r="B10" i="12"/>
  <c r="E10" i="12"/>
  <c r="F64" i="10" s="1"/>
  <c r="BP5" i="30" s="1"/>
  <c r="P46" i="10" a="1"/>
  <c r="P46" i="10" l="1"/>
  <c r="G46" i="10" s="1" a="1"/>
  <c r="G46" i="10" s="1"/>
  <c r="M46" i="10"/>
  <c r="M50" i="10" s="1"/>
  <c r="M51" i="10" s="1"/>
  <c r="M52" i="10" s="1"/>
  <c r="M53" i="10" s="1"/>
  <c r="K46" i="10"/>
  <c r="J33" i="10"/>
  <c r="R10" i="12" s="1"/>
  <c r="S10" i="12" s="1"/>
  <c r="I34" i="10"/>
  <c r="B11" i="12"/>
  <c r="E11" i="12"/>
  <c r="F70" i="10" s="1"/>
  <c r="BV5" i="30" s="1"/>
  <c r="I35" i="10" l="1"/>
  <c r="J34" i="10"/>
  <c r="L54" i="10"/>
  <c r="B12" i="12"/>
  <c r="E12" i="12"/>
  <c r="F76" i="10" s="1"/>
  <c r="CB5" i="30" s="1"/>
  <c r="P54" i="10" a="1"/>
  <c r="J35" i="10" l="1"/>
  <c r="R11" i="12" s="1"/>
  <c r="S11" i="12" s="1"/>
  <c r="I36" i="10"/>
  <c r="M54" i="10"/>
  <c r="M58" i="10" s="1"/>
  <c r="P54" i="10"/>
  <c r="G54" i="10" s="1" a="1"/>
  <c r="G54" i="10" s="1"/>
  <c r="K54" i="10"/>
  <c r="B13" i="12"/>
  <c r="E13" i="12"/>
  <c r="F82" i="10" s="1"/>
  <c r="CH5" i="30" s="1"/>
  <c r="I37" i="10" l="1"/>
  <c r="J36" i="10"/>
  <c r="M59" i="10"/>
  <c r="I38" i="10" l="1"/>
  <c r="J37" i="10"/>
  <c r="R12" i="12" s="1"/>
  <c r="S12" i="12" s="1"/>
  <c r="M60" i="10"/>
  <c r="M61" i="10" s="1"/>
  <c r="I40" i="10" l="1"/>
  <c r="I41" i="10"/>
  <c r="J38" i="10"/>
  <c r="I42" i="10"/>
  <c r="J42" i="10" s="1"/>
  <c r="I39" i="10"/>
  <c r="J39" i="10" s="1"/>
  <c r="R13" i="12" s="1"/>
  <c r="S13" i="12" s="1"/>
  <c r="S15" i="12" s="1"/>
  <c r="B25" i="22" l="1"/>
  <c r="B24" i="22"/>
  <c r="B12" i="22"/>
  <c r="I43" i="10"/>
  <c r="L62" i="10"/>
  <c r="P62" i="10" a="1"/>
  <c r="I44" i="10" l="1"/>
  <c r="I45" i="10" s="1"/>
  <c r="J45" i="10" s="1"/>
  <c r="J43" i="10"/>
  <c r="C89" i="16" s="1"/>
  <c r="D94" i="20" s="1"/>
  <c r="I89" i="16"/>
  <c r="J94" i="20" s="1"/>
  <c r="I48" i="10"/>
  <c r="I47" i="10"/>
  <c r="I49" i="10"/>
  <c r="P62" i="10"/>
  <c r="G62" i="10" s="1" a="1"/>
  <c r="G62" i="10" s="1"/>
  <c r="K62" i="10"/>
  <c r="M62" i="10"/>
  <c r="M66" i="10" s="1"/>
  <c r="J44" i="10" l="1"/>
  <c r="D8" i="12" s="1"/>
  <c r="F47" i="10" s="1"/>
  <c r="M67" i="10"/>
  <c r="M68" i="10" l="1"/>
  <c r="L69" i="10" s="1"/>
  <c r="I46" i="10"/>
  <c r="J8" i="12"/>
  <c r="AY5" i="30"/>
  <c r="J49" i="10"/>
  <c r="N49" i="10" s="1"/>
  <c r="F49" i="10" s="1"/>
  <c r="E89" i="16" s="1"/>
  <c r="F94" i="20" s="1"/>
  <c r="P69" i="10" a="1"/>
  <c r="K8" i="12" l="1"/>
  <c r="L8" i="12" s="1"/>
  <c r="BA5" i="30"/>
  <c r="I50" i="10"/>
  <c r="J46" i="10"/>
  <c r="C8" i="12" s="1"/>
  <c r="I8" i="12" s="1"/>
  <c r="M69" i="10"/>
  <c r="M72" i="10" s="1"/>
  <c r="P69" i="10"/>
  <c r="G69" i="10" s="1" a="1"/>
  <c r="G69" i="10" s="1"/>
  <c r="K69" i="10"/>
  <c r="N8" i="12" l="1"/>
  <c r="M8" i="12"/>
  <c r="J50" i="10"/>
  <c r="I51" i="10" s="1"/>
  <c r="M73" i="10"/>
  <c r="M74" i="10" s="1"/>
  <c r="I52" i="10" l="1"/>
  <c r="I53" i="10" s="1"/>
  <c r="J53" i="10" s="1"/>
  <c r="J51" i="10"/>
  <c r="C90" i="16" s="1"/>
  <c r="D95" i="20" s="1"/>
  <c r="I55" i="10"/>
  <c r="I56" i="10"/>
  <c r="I90" i="16"/>
  <c r="J95" i="20" s="1"/>
  <c r="I57" i="10"/>
  <c r="L75" i="10"/>
  <c r="J52" i="10" l="1"/>
  <c r="D9" i="12" s="1"/>
  <c r="F55" i="10" s="1"/>
  <c r="M75" i="10"/>
  <c r="M78" i="10" s="1"/>
  <c r="P75" i="10" a="1"/>
  <c r="BG5" i="30" l="1"/>
  <c r="J57" i="10"/>
  <c r="N57" i="10" s="1"/>
  <c r="F57" i="10" s="1"/>
  <c r="BI5" i="30" s="1"/>
  <c r="J9" i="12"/>
  <c r="K9" i="12" s="1"/>
  <c r="L9" i="12" s="1"/>
  <c r="I54" i="10"/>
  <c r="M79" i="10"/>
  <c r="P75" i="10"/>
  <c r="G75" i="10" s="1" a="1"/>
  <c r="G75" i="10" s="1"/>
  <c r="K75" i="10"/>
  <c r="M80" i="10" l="1"/>
  <c r="L81" i="10" s="1"/>
  <c r="I58" i="10"/>
  <c r="J54" i="10"/>
  <c r="C9" i="12" s="1"/>
  <c r="I9" i="12" s="1"/>
  <c r="M9" i="12"/>
  <c r="N9" i="12"/>
  <c r="E90" i="16"/>
  <c r="F95" i="20" s="1"/>
  <c r="G57" i="10"/>
  <c r="P81" i="10" a="1"/>
  <c r="M81" i="10" l="1"/>
  <c r="F84" i="10" s="1"/>
  <c r="J58" i="10"/>
  <c r="I59" i="10" s="1"/>
  <c r="P81" i="10"/>
  <c r="G81" i="10" s="1" a="1"/>
  <c r="G81" i="10" s="1"/>
  <c r="B72" i="16" l="1"/>
  <c r="J59" i="10"/>
  <c r="C91" i="16" s="1"/>
  <c r="D96" i="20" s="1"/>
  <c r="I60" i="10"/>
  <c r="I61" i="10" s="1"/>
  <c r="J61" i="10" s="1"/>
  <c r="I64" i="10"/>
  <c r="I65" i="10"/>
  <c r="I91" i="16"/>
  <c r="J96" i="20" s="1"/>
  <c r="J60" i="10" l="1"/>
  <c r="D10" i="12" s="1"/>
  <c r="F63" i="10" s="1"/>
  <c r="I62" i="10" l="1"/>
  <c r="J10" i="12"/>
  <c r="K10" i="12" s="1"/>
  <c r="L10" i="12" s="1"/>
  <c r="I63" i="10"/>
  <c r="BO5" i="30"/>
  <c r="J65" i="10"/>
  <c r="N65" i="10" s="1"/>
  <c r="F65" i="10" s="1"/>
  <c r="BQ5" i="30" s="1"/>
  <c r="E91" i="16" l="1"/>
  <c r="F96" i="20" s="1"/>
  <c r="G65" i="10"/>
  <c r="N10" i="12"/>
  <c r="M10" i="12"/>
  <c r="J62" i="10"/>
  <c r="C10" i="12" s="1"/>
  <c r="I10" i="12" s="1"/>
  <c r="I66" i="10"/>
  <c r="J66" i="10" l="1"/>
  <c r="I92" i="16" s="1"/>
  <c r="J97" i="20" s="1"/>
  <c r="I72" i="10" l="1"/>
  <c r="J72" i="10" s="1"/>
  <c r="I67" i="10"/>
  <c r="I68" i="10" s="1"/>
  <c r="J68" i="10" s="1"/>
  <c r="I93" i="16" l="1"/>
  <c r="J98" i="20" s="1"/>
  <c r="I78" i="10"/>
  <c r="J78" i="10" s="1"/>
  <c r="I86" i="10" s="1"/>
  <c r="L35" i="16" s="1"/>
  <c r="C35" i="16" s="1"/>
  <c r="J67" i="10"/>
  <c r="C92" i="16" s="1"/>
  <c r="D97" i="20" s="1"/>
  <c r="I73" i="10"/>
  <c r="I74" i="10" s="1"/>
  <c r="J74" i="10" s="1"/>
  <c r="I85" i="10" l="1"/>
  <c r="B11" i="9"/>
  <c r="Z35" i="16" s="1"/>
  <c r="I94" i="16"/>
  <c r="J99" i="20" s="1"/>
  <c r="I79" i="10"/>
  <c r="I69" i="10"/>
  <c r="J11" i="12"/>
  <c r="J73" i="10"/>
  <c r="C93" i="16" s="1"/>
  <c r="D98" i="20" s="1"/>
  <c r="J79" i="10" l="1"/>
  <c r="C94" i="16" s="1"/>
  <c r="D99" i="20" s="1"/>
  <c r="I80" i="10"/>
  <c r="J80" i="10" s="1"/>
  <c r="J12" i="12"/>
  <c r="I75" i="10"/>
  <c r="I70" i="10"/>
  <c r="I71" i="10" s="1"/>
  <c r="J69" i="10"/>
  <c r="I81" i="10" l="1"/>
  <c r="J81" i="10" s="1"/>
  <c r="N83" i="10" s="1"/>
  <c r="J13" i="12"/>
  <c r="J15" i="12" s="1"/>
  <c r="N71" i="10"/>
  <c r="F71" i="10" s="1"/>
  <c r="D11" i="12"/>
  <c r="K11" i="12" s="1"/>
  <c r="L11" i="12" s="1"/>
  <c r="C11" i="12"/>
  <c r="I11" i="12" s="1"/>
  <c r="J75" i="10"/>
  <c r="I76" i="10"/>
  <c r="I77" i="10" s="1"/>
  <c r="H33" i="16"/>
  <c r="C13" i="12" l="1"/>
  <c r="I13" i="12" s="1"/>
  <c r="D13" i="12"/>
  <c r="I82" i="10"/>
  <c r="I83" i="10" s="1"/>
  <c r="K13" i="12"/>
  <c r="B13" i="22"/>
  <c r="B18" i="12"/>
  <c r="Z26" i="16" s="1"/>
  <c r="N16" i="12"/>
  <c r="C7" i="22"/>
  <c r="N77" i="10"/>
  <c r="F77" i="10" s="1"/>
  <c r="C12" i="12"/>
  <c r="I12" i="12" s="1"/>
  <c r="D12" i="12"/>
  <c r="K12" i="12" s="1"/>
  <c r="L12" i="12" s="1"/>
  <c r="N11" i="12"/>
  <c r="M11" i="12"/>
  <c r="BW5" i="30"/>
  <c r="G71" i="10"/>
  <c r="E92" i="16"/>
  <c r="F97" i="20" s="1"/>
  <c r="L13" i="12"/>
  <c r="F83" i="10"/>
  <c r="CI5" i="30" s="1"/>
  <c r="D18" i="12" l="1"/>
  <c r="B7" i="22"/>
  <c r="I90" i="10"/>
  <c r="I88" i="10" s="1"/>
  <c r="E33" i="22"/>
  <c r="E34" i="22"/>
  <c r="K15" i="12"/>
  <c r="B19" i="12" s="1"/>
  <c r="D19" i="12" s="1"/>
  <c r="D20" i="12" s="1"/>
  <c r="I72" i="16"/>
  <c r="M12" i="12"/>
  <c r="N12" i="12"/>
  <c r="CC5" i="30"/>
  <c r="G77" i="10"/>
  <c r="E93" i="16"/>
  <c r="F98" i="20" s="1"/>
  <c r="G83" i="10"/>
  <c r="E94" i="16"/>
  <c r="F99" i="20" s="1"/>
  <c r="M13" i="12"/>
  <c r="N13" i="12"/>
  <c r="L15" i="12"/>
  <c r="C8" i="22" l="1"/>
  <c r="B8" i="22" s="1"/>
  <c r="B20" i="12"/>
  <c r="Z30" i="16" s="1"/>
  <c r="Z29" i="16"/>
  <c r="O16" i="12"/>
  <c r="M15" i="12"/>
  <c r="N15" i="12"/>
  <c r="C9" i="22"/>
  <c r="B9" i="22" s="1"/>
  <c r="P16" i="12"/>
  <c r="Q16" i="12"/>
  <c r="C54" i="16" l="1"/>
  <c r="G71" i="20" s="1"/>
  <c r="Z31" i="16"/>
  <c r="D54" i="16" l="1"/>
  <c r="H71" i="20" s="1"/>
  <c r="EF5" i="30"/>
  <c r="D20" i="22"/>
  <c r="D21" i="22" s="1"/>
  <c r="C13" i="22" l="1"/>
  <c r="B19" i="22" s="1"/>
  <c r="B21" i="22" s="1"/>
  <c r="B14" i="22"/>
  <c r="C14" i="22" s="1"/>
  <c r="E19" i="22"/>
  <c r="E21" i="22" s="1"/>
  <c r="F19" i="22"/>
  <c r="C25" i="22" l="1"/>
  <c r="C19" i="22"/>
  <c r="B27" i="22"/>
  <c r="C12" i="22"/>
  <c r="C21" i="22"/>
  <c r="F21" i="22"/>
  <c r="O19" i="22"/>
  <c r="L19" i="22"/>
  <c r="X19" i="22"/>
  <c r="I19" i="22"/>
  <c r="W19" i="22"/>
  <c r="N19" i="22"/>
  <c r="K19" i="22"/>
  <c r="H19" i="22"/>
  <c r="N4" i="25" l="1"/>
  <c r="N12" i="25"/>
  <c r="N11" i="25"/>
  <c r="N10" i="25"/>
  <c r="N9" i="25"/>
  <c r="N8" i="25"/>
  <c r="N7" i="25"/>
  <c r="N6" i="25"/>
  <c r="N5" i="25"/>
  <c r="M4" i="24"/>
  <c r="M12" i="24"/>
  <c r="L12" i="24" s="1"/>
  <c r="M11" i="24"/>
  <c r="L11" i="24" s="1"/>
  <c r="M10" i="24"/>
  <c r="L10" i="24" s="1"/>
  <c r="M9" i="24"/>
  <c r="L9" i="24" s="1"/>
  <c r="M8" i="24"/>
  <c r="L8" i="24" s="1"/>
  <c r="M7" i="24"/>
  <c r="L7" i="24" s="1"/>
  <c r="M6" i="24"/>
  <c r="L6" i="24" s="1"/>
  <c r="M5" i="24"/>
  <c r="L5" i="24" s="1"/>
  <c r="C24" i="22"/>
  <c r="C27" i="22" s="1"/>
  <c r="W34" i="22"/>
  <c r="W33" i="22"/>
  <c r="N34" i="22"/>
  <c r="N33" i="22"/>
  <c r="H33" i="22"/>
  <c r="H34" i="22"/>
  <c r="B33" i="22"/>
  <c r="B34" i="22"/>
  <c r="K21" i="22"/>
  <c r="L21" i="22" s="1"/>
  <c r="H21" i="22"/>
  <c r="I21" i="22" s="1"/>
  <c r="N21" i="22"/>
  <c r="O21" i="22" s="1"/>
  <c r="W21" i="22"/>
  <c r="X21" i="22" s="1"/>
  <c r="T19" i="22"/>
  <c r="Q19" i="22"/>
  <c r="U19" i="22"/>
  <c r="R19" i="22"/>
  <c r="C33" i="22" l="1"/>
  <c r="Q34" i="22"/>
  <c r="Q33" i="22"/>
  <c r="T34" i="22"/>
  <c r="T33" i="22"/>
  <c r="Q21" i="22"/>
  <c r="R21" i="22" s="1"/>
  <c r="T21" i="22"/>
  <c r="U21" i="22" s="1"/>
  <c r="B35" i="22"/>
  <c r="N8" i="24"/>
  <c r="K8" i="24"/>
  <c r="O8" i="24"/>
  <c r="O6" i="24"/>
  <c r="K6" i="24"/>
  <c r="N6" i="24"/>
  <c r="E27" i="22"/>
  <c r="E28" i="22"/>
  <c r="B28" i="22"/>
  <c r="K12" i="24"/>
  <c r="N12" i="24"/>
  <c r="O12" i="24"/>
  <c r="O5" i="24"/>
  <c r="K5" i="24"/>
  <c r="N5" i="24"/>
  <c r="K11" i="24"/>
  <c r="N11" i="24"/>
  <c r="O11" i="24"/>
  <c r="O10" i="24"/>
  <c r="K10" i="24"/>
  <c r="N10" i="24"/>
  <c r="K7" i="24"/>
  <c r="N7" i="24"/>
  <c r="O7" i="24"/>
  <c r="K9" i="24"/>
  <c r="N9" i="24"/>
  <c r="O9" i="24"/>
  <c r="L4" i="24"/>
  <c r="M13" i="24"/>
  <c r="B29" i="22" l="1"/>
  <c r="P12" i="25"/>
  <c r="M12" i="25"/>
  <c r="P7" i="25"/>
  <c r="Q7" i="25" s="1"/>
  <c r="M7" i="25"/>
  <c r="S8" i="24"/>
  <c r="P8" i="24"/>
  <c r="Q8" i="24" s="1"/>
  <c r="R8" i="24" s="1"/>
  <c r="P6" i="24"/>
  <c r="Q6" i="24" s="1"/>
  <c r="R6" i="24" s="1"/>
  <c r="S6" i="24"/>
  <c r="N4" i="24"/>
  <c r="N13" i="24" s="1"/>
  <c r="K4" i="24"/>
  <c r="L13" i="24"/>
  <c r="O4" i="24"/>
  <c r="O13" i="24" s="1"/>
  <c r="E29" i="22"/>
  <c r="S10" i="24"/>
  <c r="P10" i="24"/>
  <c r="Q10" i="24" s="1"/>
  <c r="R10" i="24" s="1"/>
  <c r="P11" i="24"/>
  <c r="Q11" i="24" s="1"/>
  <c r="R11" i="24" s="1"/>
  <c r="S11" i="24"/>
  <c r="P5" i="25"/>
  <c r="Q5" i="25" s="1"/>
  <c r="M5" i="25"/>
  <c r="S12" i="24"/>
  <c r="P12" i="24"/>
  <c r="Q12" i="24" s="1"/>
  <c r="R12" i="24" s="1"/>
  <c r="M6" i="25"/>
  <c r="P6" i="25"/>
  <c r="Q6" i="25" s="1"/>
  <c r="M11" i="25"/>
  <c r="P11" i="25"/>
  <c r="Q11" i="25" s="1"/>
  <c r="S7" i="24"/>
  <c r="P7" i="24"/>
  <c r="Q7" i="24" s="1"/>
  <c r="R7" i="24" s="1"/>
  <c r="S5" i="24"/>
  <c r="P5" i="24"/>
  <c r="Q5" i="24" s="1"/>
  <c r="R5" i="24" s="1"/>
  <c r="M4" i="25"/>
  <c r="N13" i="25"/>
  <c r="P4" i="25"/>
  <c r="M10" i="25"/>
  <c r="P10" i="25"/>
  <c r="Q10" i="25" s="1"/>
  <c r="S9" i="24"/>
  <c r="P9" i="24"/>
  <c r="Q9" i="24" s="1"/>
  <c r="R9" i="24" s="1"/>
  <c r="P9" i="25"/>
  <c r="Q9" i="25" s="1"/>
  <c r="M9" i="25"/>
  <c r="M8" i="25"/>
  <c r="P8" i="25"/>
  <c r="Q8" i="25" s="1"/>
  <c r="O8" i="25" l="1"/>
  <c r="R8" i="25"/>
  <c r="L8" i="25"/>
  <c r="K24" i="22"/>
  <c r="E24" i="22"/>
  <c r="D94" i="10" s="1"/>
  <c r="R4" i="25"/>
  <c r="M13" i="25"/>
  <c r="O4" i="25"/>
  <c r="L4" i="25"/>
  <c r="R6" i="25"/>
  <c r="L6" i="25"/>
  <c r="O6" i="25"/>
  <c r="S4" i="24"/>
  <c r="S13" i="24" s="1"/>
  <c r="P4" i="24"/>
  <c r="K13" i="24"/>
  <c r="L7" i="25"/>
  <c r="R7" i="25"/>
  <c r="O7" i="25"/>
  <c r="R10" i="25"/>
  <c r="L10" i="25"/>
  <c r="O10" i="25"/>
  <c r="P28" i="25"/>
  <c r="Q4" i="25"/>
  <c r="P13" i="25"/>
  <c r="L5" i="25"/>
  <c r="R5" i="25"/>
  <c r="O5" i="25"/>
  <c r="H24" i="22"/>
  <c r="D101" i="10" s="1"/>
  <c r="R11" i="25"/>
  <c r="L11" i="25"/>
  <c r="O11" i="25"/>
  <c r="O12" i="25"/>
  <c r="R12" i="25"/>
  <c r="L12" i="25"/>
  <c r="L9" i="25"/>
  <c r="O9" i="25"/>
  <c r="R9" i="25"/>
  <c r="K33" i="22" l="1"/>
  <c r="R13" i="25"/>
  <c r="K25" i="22" s="1"/>
  <c r="K34" i="22" s="1"/>
  <c r="O13" i="25"/>
  <c r="H25" i="22" s="1"/>
  <c r="V7" i="25"/>
  <c r="S7" i="25"/>
  <c r="T7" i="25" s="1"/>
  <c r="U7" i="25" s="1"/>
  <c r="V9" i="25"/>
  <c r="S9" i="25"/>
  <c r="T9" i="25" s="1"/>
  <c r="U9" i="25" s="1"/>
  <c r="V4" i="25"/>
  <c r="L13" i="25"/>
  <c r="S4" i="25"/>
  <c r="V12" i="25"/>
  <c r="S12" i="25"/>
  <c r="T12" i="25" s="1"/>
  <c r="U12" i="25" s="1"/>
  <c r="S10" i="25"/>
  <c r="T10" i="25" s="1"/>
  <c r="U10" i="25" s="1"/>
  <c r="V10" i="25"/>
  <c r="S6" i="25"/>
  <c r="T6" i="25" s="1"/>
  <c r="U6" i="25" s="1"/>
  <c r="V6" i="25"/>
  <c r="E25" i="22"/>
  <c r="Q13" i="25"/>
  <c r="Q28" i="25"/>
  <c r="S11" i="25"/>
  <c r="T11" i="25" s="1"/>
  <c r="U11" i="25" s="1"/>
  <c r="V11" i="25"/>
  <c r="V5" i="25"/>
  <c r="S5" i="25"/>
  <c r="T5" i="25" s="1"/>
  <c r="U5" i="25" s="1"/>
  <c r="Q4" i="24"/>
  <c r="P13" i="24"/>
  <c r="S8" i="25"/>
  <c r="T8" i="25" s="1"/>
  <c r="U8" i="25" s="1"/>
  <c r="V8" i="25"/>
  <c r="C46" i="16"/>
  <c r="W24" i="22"/>
  <c r="V13" i="25" l="1"/>
  <c r="W25" i="22" s="1"/>
  <c r="K35" i="22"/>
  <c r="D37" i="7"/>
  <c r="E35" i="22"/>
  <c r="C50" i="16" s="1"/>
  <c r="D46" i="16"/>
  <c r="H65" i="20" s="1"/>
  <c r="G65" i="20"/>
  <c r="D44" i="7"/>
  <c r="H35" i="22"/>
  <c r="C60" i="16" s="1"/>
  <c r="S13" i="25"/>
  <c r="T4" i="25"/>
  <c r="N24" i="22"/>
  <c r="R4" i="24"/>
  <c r="R13" i="24" s="1"/>
  <c r="Q13" i="24"/>
  <c r="C56" i="16" l="1"/>
  <c r="W35" i="22"/>
  <c r="N25" i="22"/>
  <c r="G68" i="20"/>
  <c r="D50" i="16"/>
  <c r="H68" i="20" s="1"/>
  <c r="T13" i="25"/>
  <c r="U4" i="25"/>
  <c r="U13" i="25" s="1"/>
  <c r="Q24" i="22"/>
  <c r="D60" i="16"/>
  <c r="H75" i="20" s="1"/>
  <c r="G75" i="20"/>
  <c r="EG5" i="30" l="1"/>
  <c r="D56" i="16"/>
  <c r="H72" i="20" s="1"/>
  <c r="G72" i="20"/>
  <c r="N35" i="22"/>
  <c r="T25" i="22"/>
  <c r="Q25" i="22"/>
  <c r="T35" i="22" l="1"/>
  <c r="Q35" i="22"/>
  <c r="M22" i="24"/>
  <c r="L22" i="24" s="1"/>
  <c r="O22" i="24" s="1"/>
  <c r="M24" i="24"/>
  <c r="L24" i="24" s="1"/>
  <c r="M21" i="24"/>
  <c r="L21" i="24" s="1"/>
  <c r="O21" i="24" s="1"/>
  <c r="D24" i="22"/>
  <c r="M26" i="24"/>
  <c r="L26" i="24" s="1"/>
  <c r="O26" i="24" s="1"/>
  <c r="M20" i="24"/>
  <c r="L20" i="24" s="1"/>
  <c r="O20" i="24" s="1"/>
  <c r="M25" i="24"/>
  <c r="L25" i="24" s="1"/>
  <c r="M27" i="24"/>
  <c r="L27" i="24" s="1"/>
  <c r="M19" i="24"/>
  <c r="M23" i="24"/>
  <c r="L23" i="24" s="1"/>
  <c r="C28" i="22"/>
  <c r="N34" i="25" l="1"/>
  <c r="N36" i="25"/>
  <c r="N35" i="25"/>
  <c r="N37" i="25"/>
  <c r="M28" i="24"/>
  <c r="M32" i="24" s="1"/>
  <c r="L19" i="24"/>
  <c r="K19" i="24" s="1"/>
  <c r="P19" i="24" s="1"/>
  <c r="Q19" i="24" s="1"/>
  <c r="N26" i="24"/>
  <c r="D27" i="22"/>
  <c r="C29" i="22"/>
  <c r="N25" i="24"/>
  <c r="O25" i="24"/>
  <c r="O24" i="24"/>
  <c r="K24" i="24"/>
  <c r="N24" i="24"/>
  <c r="N23" i="24"/>
  <c r="O23" i="24"/>
  <c r="K23" i="24"/>
  <c r="F28" i="22"/>
  <c r="D33" i="22"/>
  <c r="C34" i="22"/>
  <c r="N27" i="24"/>
  <c r="K27" i="24"/>
  <c r="O27" i="24"/>
  <c r="K20" i="24"/>
  <c r="K25" i="24"/>
  <c r="K26" i="24"/>
  <c r="K22" i="24"/>
  <c r="K21" i="24"/>
  <c r="N22" i="24"/>
  <c r="N20" i="24"/>
  <c r="N21" i="24"/>
  <c r="N19" i="25" l="1"/>
  <c r="M19" i="25" s="1"/>
  <c r="N27" i="25"/>
  <c r="N26" i="25"/>
  <c r="M26" i="25" s="1"/>
  <c r="N21" i="25"/>
  <c r="P21" i="25" s="1"/>
  <c r="Q21" i="25" s="1"/>
  <c r="N25" i="25"/>
  <c r="M25" i="25" s="1"/>
  <c r="R25" i="25" s="1"/>
  <c r="N24" i="25"/>
  <c r="P24" i="25" s="1"/>
  <c r="Q24" i="25" s="1"/>
  <c r="N20" i="25"/>
  <c r="N23" i="25"/>
  <c r="P23" i="25" s="1"/>
  <c r="Q23" i="25" s="1"/>
  <c r="N22" i="25"/>
  <c r="P22" i="25" s="1"/>
  <c r="Q22" i="25" s="1"/>
  <c r="I91" i="10"/>
  <c r="I92" i="10" s="1"/>
  <c r="I93" i="10" s="1"/>
  <c r="I94" i="10" s="1"/>
  <c r="I95" i="10" s="1"/>
  <c r="I96" i="10" s="1"/>
  <c r="I97" i="10" s="1"/>
  <c r="I98" i="10" s="1"/>
  <c r="I99" i="10" s="1"/>
  <c r="I100" i="10" s="1"/>
  <c r="I101" i="10" s="1"/>
  <c r="I102" i="10" s="1"/>
  <c r="I103" i="10" s="1"/>
  <c r="I104" i="10" s="1"/>
  <c r="N19" i="24"/>
  <c r="N28" i="24" s="1"/>
  <c r="N32" i="24" s="1"/>
  <c r="J24" i="22" s="1"/>
  <c r="D103" i="10" s="1"/>
  <c r="S19" i="24"/>
  <c r="K28" i="24"/>
  <c r="K32" i="24" s="1"/>
  <c r="F27" i="22"/>
  <c r="F29" i="22"/>
  <c r="O19" i="24"/>
  <c r="O28" i="24" s="1"/>
  <c r="L28" i="24"/>
  <c r="P20" i="24"/>
  <c r="Q20" i="24" s="1"/>
  <c r="R20" i="24" s="1"/>
  <c r="S20" i="24"/>
  <c r="S23" i="24"/>
  <c r="P23" i="24"/>
  <c r="Q23" i="24" s="1"/>
  <c r="R23" i="24" s="1"/>
  <c r="P36" i="25"/>
  <c r="N38" i="25"/>
  <c r="M36" i="25"/>
  <c r="M35" i="25"/>
  <c r="P35" i="25"/>
  <c r="Q35" i="25" s="1"/>
  <c r="S22" i="24"/>
  <c r="P22" i="24"/>
  <c r="Q22" i="24" s="1"/>
  <c r="R22" i="24" s="1"/>
  <c r="P24" i="24"/>
  <c r="Q24" i="24" s="1"/>
  <c r="R24" i="24" s="1"/>
  <c r="S24" i="24"/>
  <c r="M37" i="25"/>
  <c r="P37" i="25"/>
  <c r="Q37" i="25" s="1"/>
  <c r="D25" i="22"/>
  <c r="P21" i="24"/>
  <c r="Q21" i="24" s="1"/>
  <c r="R21" i="24" s="1"/>
  <c r="S21" i="24"/>
  <c r="S26" i="24"/>
  <c r="P26" i="24"/>
  <c r="Q26" i="24" s="1"/>
  <c r="R26" i="24" s="1"/>
  <c r="S27" i="24"/>
  <c r="P27" i="24"/>
  <c r="Q27" i="24" s="1"/>
  <c r="R27" i="24" s="1"/>
  <c r="M34" i="25"/>
  <c r="P34" i="25"/>
  <c r="Q34" i="25" s="1"/>
  <c r="P25" i="24"/>
  <c r="Q25" i="24" s="1"/>
  <c r="R25" i="24" s="1"/>
  <c r="S25" i="24"/>
  <c r="R19" i="24"/>
  <c r="M22" i="25" l="1"/>
  <c r="R22" i="25" s="1"/>
  <c r="P19" i="25"/>
  <c r="Q19" i="25" s="1"/>
  <c r="Q28" i="24"/>
  <c r="Q32" i="24" s="1"/>
  <c r="S24" i="22" s="1"/>
  <c r="P28" i="24"/>
  <c r="P32" i="24" s="1"/>
  <c r="P24" i="22" s="1"/>
  <c r="R28" i="24"/>
  <c r="R32" i="24" s="1"/>
  <c r="V24" i="22" s="1"/>
  <c r="M23" i="25"/>
  <c r="L23" i="25" s="1"/>
  <c r="N28" i="25"/>
  <c r="N42" i="25" s="1"/>
  <c r="N47" i="25" s="1"/>
  <c r="S28" i="24"/>
  <c r="S32" i="24" s="1"/>
  <c r="Y24" i="22" s="1"/>
  <c r="D99" i="10" s="1"/>
  <c r="I24" i="22"/>
  <c r="P26" i="25"/>
  <c r="Q26" i="25" s="1"/>
  <c r="O25" i="25"/>
  <c r="P25" i="25"/>
  <c r="Q25" i="25" s="1"/>
  <c r="L25" i="25"/>
  <c r="V25" i="25" s="1"/>
  <c r="M21" i="25"/>
  <c r="R21" i="25" s="1"/>
  <c r="M24" i="25"/>
  <c r="O24" i="25" s="1"/>
  <c r="L32" i="24"/>
  <c r="G24" i="22" s="1"/>
  <c r="D96" i="10" s="1"/>
  <c r="F24" i="22"/>
  <c r="L24" i="22"/>
  <c r="L33" i="22" s="1"/>
  <c r="M33" i="22" s="1"/>
  <c r="O32" i="24"/>
  <c r="M24" i="22" s="1"/>
  <c r="D98" i="10" s="1"/>
  <c r="P27" i="25"/>
  <c r="M27" i="25"/>
  <c r="P20" i="25"/>
  <c r="Q20" i="25" s="1"/>
  <c r="M20" i="25"/>
  <c r="O26" i="25"/>
  <c r="L26" i="25"/>
  <c r="R26" i="25"/>
  <c r="C35" i="22"/>
  <c r="D34" i="22"/>
  <c r="D35" i="22" s="1"/>
  <c r="M38" i="25"/>
  <c r="R36" i="25"/>
  <c r="L36" i="25"/>
  <c r="O36" i="25"/>
  <c r="O35" i="25"/>
  <c r="R35" i="25"/>
  <c r="L35" i="25"/>
  <c r="L34" i="25"/>
  <c r="O34" i="25"/>
  <c r="R34" i="25"/>
  <c r="L19" i="25"/>
  <c r="O19" i="25"/>
  <c r="R19" i="25"/>
  <c r="P38" i="25"/>
  <c r="Q36" i="25"/>
  <c r="Q38" i="25" s="1"/>
  <c r="R37" i="25"/>
  <c r="O37" i="25"/>
  <c r="L37" i="25"/>
  <c r="I33" i="22" l="1"/>
  <c r="J33" i="22" s="1"/>
  <c r="D104" i="10" s="1"/>
  <c r="D102" i="10"/>
  <c r="F33" i="22"/>
  <c r="G33" i="22" s="1"/>
  <c r="D97" i="10" s="1"/>
  <c r="D95" i="10"/>
  <c r="O22" i="25"/>
  <c r="L22" i="25"/>
  <c r="S22" i="25" s="1"/>
  <c r="T22" i="25" s="1"/>
  <c r="U22" i="25" s="1"/>
  <c r="C57" i="16"/>
  <c r="O24" i="22"/>
  <c r="O33" i="22" s="1"/>
  <c r="P33" i="22" s="1"/>
  <c r="O23" i="25"/>
  <c r="U24" i="22"/>
  <c r="U33" i="22" s="1"/>
  <c r="V33" i="22" s="1"/>
  <c r="R24" i="22"/>
  <c r="R33" i="22" s="1"/>
  <c r="S33" i="22" s="1"/>
  <c r="X24" i="22"/>
  <c r="X33" i="22" s="1"/>
  <c r="Y33" i="22" s="1"/>
  <c r="R23" i="25"/>
  <c r="R28" i="25" s="1"/>
  <c r="M28" i="25"/>
  <c r="M42" i="25" s="1"/>
  <c r="R38" i="25"/>
  <c r="O38" i="25"/>
  <c r="R24" i="25"/>
  <c r="L24" i="25"/>
  <c r="V24" i="25" s="1"/>
  <c r="S25" i="25"/>
  <c r="T25" i="25" s="1"/>
  <c r="U25" i="25" s="1"/>
  <c r="L21" i="25"/>
  <c r="S21" i="25" s="1"/>
  <c r="T21" i="25" s="1"/>
  <c r="U21" i="25" s="1"/>
  <c r="O21" i="25"/>
  <c r="L20" i="25"/>
  <c r="O20" i="25"/>
  <c r="R20" i="25"/>
  <c r="L27" i="25"/>
  <c r="O27" i="25"/>
  <c r="R27" i="25"/>
  <c r="S23" i="25"/>
  <c r="T23" i="25" s="1"/>
  <c r="U23" i="25" s="1"/>
  <c r="V23" i="25"/>
  <c r="S26" i="25"/>
  <c r="T26" i="25" s="1"/>
  <c r="U26" i="25" s="1"/>
  <c r="V26" i="25"/>
  <c r="L38" i="25"/>
  <c r="V36" i="25"/>
  <c r="S36" i="25"/>
  <c r="V35" i="25"/>
  <c r="S35" i="25"/>
  <c r="S37" i="25"/>
  <c r="V37" i="25"/>
  <c r="S19" i="25"/>
  <c r="V19" i="25"/>
  <c r="S34" i="25"/>
  <c r="T34" i="25" s="1"/>
  <c r="U34" i="25" s="1"/>
  <c r="V34" i="25"/>
  <c r="C47" i="16" l="1"/>
  <c r="V22" i="25"/>
  <c r="O28" i="25"/>
  <c r="O42" i="25" s="1"/>
  <c r="O47" i="25" s="1"/>
  <c r="J25" i="22" s="1"/>
  <c r="R42" i="25"/>
  <c r="R47" i="25" s="1"/>
  <c r="M25" i="22" s="1"/>
  <c r="V38" i="25"/>
  <c r="L28" i="25"/>
  <c r="S24" i="25"/>
  <c r="T24" i="25" s="1"/>
  <c r="U24" i="25" s="1"/>
  <c r="V21" i="25"/>
  <c r="V28" i="25" s="1"/>
  <c r="V27" i="25"/>
  <c r="S27" i="25"/>
  <c r="T27" i="25" s="1"/>
  <c r="U27" i="25" s="1"/>
  <c r="V20" i="25"/>
  <c r="S20" i="25"/>
  <c r="T20" i="25" s="1"/>
  <c r="U20" i="25" s="1"/>
  <c r="U36" i="25"/>
  <c r="S38" i="25"/>
  <c r="T36" i="25"/>
  <c r="S28" i="25"/>
  <c r="T19" i="25"/>
  <c r="U37" i="25"/>
  <c r="T37" i="25"/>
  <c r="M47" i="25"/>
  <c r="G25" i="22" s="1"/>
  <c r="F25" i="22"/>
  <c r="F34" i="22" s="1"/>
  <c r="T35" i="25"/>
  <c r="U35" i="25"/>
  <c r="L25" i="22" l="1"/>
  <c r="L34" i="22" s="1"/>
  <c r="L35" i="22" s="1"/>
  <c r="F35" i="22"/>
  <c r="C51" i="16" s="1"/>
  <c r="V42" i="25"/>
  <c r="V47" i="25" s="1"/>
  <c r="Y25" i="22" s="1"/>
  <c r="I25" i="22"/>
  <c r="I34" i="22" s="1"/>
  <c r="J34" i="22" s="1"/>
  <c r="U38" i="25"/>
  <c r="T38" i="25"/>
  <c r="S42" i="25"/>
  <c r="O25" i="22" s="1"/>
  <c r="O34" i="22" s="1"/>
  <c r="U19" i="25"/>
  <c r="U28" i="25" s="1"/>
  <c r="T28" i="25"/>
  <c r="M34" i="22" l="1"/>
  <c r="M35" i="22" s="1"/>
  <c r="C65" i="16" s="1"/>
  <c r="H84" i="20" s="1"/>
  <c r="D38" i="7"/>
  <c r="G34" i="22"/>
  <c r="G35" i="22" s="1"/>
  <c r="I81" i="16" s="1"/>
  <c r="X25" i="22"/>
  <c r="X34" i="22" s="1"/>
  <c r="Y34" i="22" s="1"/>
  <c r="U42" i="25"/>
  <c r="U47" i="25" s="1"/>
  <c r="V25" i="22" s="1"/>
  <c r="D45" i="7"/>
  <c r="I35" i="22"/>
  <c r="EH5" i="30"/>
  <c r="T42" i="25"/>
  <c r="R25" i="22" s="1"/>
  <c r="R34" i="22" s="1"/>
  <c r="C52" i="16"/>
  <c r="D51" i="16"/>
  <c r="H69" i="20" s="1"/>
  <c r="G69" i="20"/>
  <c r="D47" i="16"/>
  <c r="H66" i="20" s="1"/>
  <c r="G66" i="20"/>
  <c r="C48" i="16"/>
  <c r="S47" i="25"/>
  <c r="P25" i="22" s="1"/>
  <c r="O35" i="22"/>
  <c r="P34" i="22"/>
  <c r="P35" i="22" s="1"/>
  <c r="C66" i="16" s="1"/>
  <c r="H85" i="20" s="1"/>
  <c r="D46" i="7"/>
  <c r="D47" i="7" s="1"/>
  <c r="J35" i="22"/>
  <c r="C61" i="16" l="1"/>
  <c r="D61" i="16" s="1"/>
  <c r="H76" i="20" s="1"/>
  <c r="C64" i="16"/>
  <c r="H83" i="20" s="1"/>
  <c r="G111" i="20" s="1"/>
  <c r="D41" i="7"/>
  <c r="D39" i="7"/>
  <c r="D40" i="7" s="1"/>
  <c r="U25" i="22"/>
  <c r="U34" i="22" s="1"/>
  <c r="U35" i="22" s="1"/>
  <c r="C58" i="16"/>
  <c r="C59" i="16" s="1"/>
  <c r="D57" i="16"/>
  <c r="H73" i="20" s="1"/>
  <c r="T47" i="25"/>
  <c r="S25" i="22" s="1"/>
  <c r="G73" i="20"/>
  <c r="X35" i="22"/>
  <c r="Y35" i="22"/>
  <c r="C69" i="16" s="1"/>
  <c r="H88" i="20" s="1"/>
  <c r="D42" i="7"/>
  <c r="G67" i="20"/>
  <c r="D48" i="16"/>
  <c r="H67" i="20" s="1"/>
  <c r="C49" i="16"/>
  <c r="G70" i="20"/>
  <c r="C55" i="16"/>
  <c r="H80" i="20" s="1"/>
  <c r="C53" i="16"/>
  <c r="H82" i="20" s="1"/>
  <c r="D52" i="16"/>
  <c r="H70" i="20" s="1"/>
  <c r="S34" i="22"/>
  <c r="S35" i="22" s="1"/>
  <c r="C67" i="16" s="1"/>
  <c r="H86" i="20" s="1"/>
  <c r="R35" i="22"/>
  <c r="G76" i="20" l="1"/>
  <c r="C62" i="16"/>
  <c r="G112" i="20"/>
  <c r="V34" i="22"/>
  <c r="V35" i="22" s="1"/>
  <c r="H79" i="20"/>
  <c r="I77" i="16"/>
  <c r="B12" i="9" s="1"/>
  <c r="D58" i="16"/>
  <c r="H74" i="20" s="1"/>
  <c r="G109" i="20" s="1"/>
  <c r="G74" i="20"/>
  <c r="C63" i="16" l="1"/>
  <c r="EI5" i="30"/>
  <c r="D62" i="16"/>
  <c r="H77" i="20" s="1"/>
  <c r="G77" i="20"/>
  <c r="C68" i="16"/>
  <c r="H87" i="20" s="1"/>
  <c r="H81" i="20" l="1"/>
  <c r="C71" i="16"/>
  <c r="B90" i="20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Harnych</author>
    <author>Jiří Spitz</author>
    <author>Jiri SPITZ</author>
  </authors>
  <commentList>
    <comment ref="C6" authorId="0" shapeId="0" xr:uid="{C1A9BADD-2DBA-4003-83DB-EAE065AEB0CE}">
      <text>
        <r>
          <rPr>
            <sz val="9"/>
            <color indexed="81"/>
            <rFont val="Tahoma"/>
            <family val="2"/>
            <charset val="238"/>
          </rPr>
          <t>Do zelených polí zapisujte hodnoty nebo je vybírejte ze seznamu.</t>
        </r>
      </text>
    </comment>
    <comment ref="B20" authorId="1" shapeId="0" xr:uid="{06771008-7598-4B89-BFDD-72EFA795D20F}">
      <text>
        <r>
          <rPr>
            <sz val="9"/>
            <color indexed="81"/>
            <rFont val="Tahoma"/>
            <family val="2"/>
            <charset val="238"/>
          </rPr>
          <t>Zaškrtněte jedno nebo více opatření, která chcete realizovat. Po zaškrtnutí se zobrazí odkazy na formuláře.</t>
        </r>
      </text>
    </comment>
    <comment ref="B33" authorId="2" shapeId="0" xr:uid="{45EDC58D-5027-4883-B3B8-46131C58D035}">
      <text>
        <r>
          <rPr>
            <sz val="9"/>
            <color indexed="81"/>
            <rFont val="Tahoma"/>
            <family val="2"/>
            <charset val="238"/>
          </rPr>
          <t>Klinutím na text se otevře příslušný formulář opatření. Postupujte prosím v pořadí od shora.</t>
        </r>
      </text>
    </comment>
    <comment ref="C33" authorId="2" shapeId="0" xr:uid="{451F276E-AC85-4269-AF07-BDE2D1B7821C}">
      <text>
        <r>
          <rPr>
            <sz val="9"/>
            <color indexed="81"/>
            <rFont val="Tahoma"/>
            <family val="2"/>
            <charset val="238"/>
          </rPr>
          <t xml:space="preserve">Pokud jsou všechna data pro opatření v pořádku vyplněna, zobrazí se zelený text s potvrzením. V opačném případě červený text vyzývá k doplnění dat.
</t>
        </r>
      </text>
    </comment>
    <comment ref="C46" authorId="0" shapeId="0" xr:uid="{C4270AB4-27E1-4C3C-AACB-1A4AE9687741}">
      <text>
        <r>
          <rPr>
            <sz val="9"/>
            <color indexed="81"/>
            <rFont val="Tahoma"/>
            <family val="2"/>
            <charset val="238"/>
          </rPr>
          <t>Pokud v tabulce (3. výsledky) zobrazeny pouze nuly, znamená to, že nejsou správně vyplněny všechny formuláře.</t>
        </r>
      </text>
    </comment>
    <comment ref="B104" authorId="0" shapeId="0" xr:uid="{538EA2DC-64FB-478C-A5F6-4EA7B6A2BC71}">
      <text>
        <r>
          <rPr>
            <sz val="9"/>
            <color indexed="81"/>
            <rFont val="Tahoma"/>
            <family val="2"/>
            <charset val="238"/>
          </rPr>
          <t xml:space="preserve">Stisknutím tlačítka vytisknete formulář s výsledky.
</t>
        </r>
      </text>
    </comment>
    <comment ref="F104" authorId="0" shapeId="0" xr:uid="{5B537CBF-8008-405C-A27B-DFC12349BA05}">
      <text>
        <r>
          <rPr>
            <sz val="9"/>
            <color indexed="81"/>
            <rFont val="Tahoma"/>
            <family val="2"/>
            <charset val="238"/>
          </rPr>
          <t>vymaže všechny hodnoty ze všech zelených polí.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Jiri SPITZ</author>
  </authors>
  <commentList>
    <comment ref="L3" authorId="0" shapeId="0" xr:uid="{3664D52C-7B63-47AE-8C46-DDD40F703C3F}">
      <text>
        <r>
          <rPr>
            <sz val="9"/>
            <color indexed="81"/>
            <rFont val="Tahoma"/>
            <family val="2"/>
            <charset val="238"/>
          </rPr>
          <t>Spotřeba paliva nebo energie v naturálních jednotkách z listu Kotel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Jiri SPITZ</author>
  </authors>
  <commentList>
    <comment ref="M3" authorId="0" shapeId="0" xr:uid="{BDC293A0-6A19-465E-A62D-28084B9B2182}">
      <text>
        <r>
          <rPr>
            <sz val="9"/>
            <color indexed="81"/>
            <rFont val="Tahoma"/>
            <family val="2"/>
            <charset val="238"/>
          </rPr>
          <t xml:space="preserve">Spotřeba tepla před zateplením spočítaná z konstrukcí
</t>
        </r>
      </text>
    </comment>
    <comment ref="M18" authorId="0" shapeId="0" xr:uid="{4373EF25-8E0E-4924-9377-4EFFAD347922}">
      <text>
        <r>
          <rPr>
            <sz val="9"/>
            <color indexed="81"/>
            <rFont val="Tahoma"/>
            <family val="2"/>
            <charset val="238"/>
          </rPr>
          <t>Spotřeba tepla po zateplení spočítaná z konstrukcí</t>
        </r>
      </text>
    </comment>
  </commentList>
</comment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python.xml><?xml version="1.0" encoding="utf-8"?>
<python xmlns="http://schemas.microsoft.com/office/spreadsheetml/2023/python">
  <environmentDefinition id="{882DD1B0-6546-4DFA-8A08-902A380B44EA}">
    <initialization>
      <code xml:space="preserve">import numpy as np
import pandas as pd
import matplotlib.pyplot as plt
import seaborn as sns
import statsmodels as sm
import excel
import warnings
warnings.simplefilter('ignore')
excel.set_xl_scalar_conversion(excel.convert_to_scalar)
excel.set_xl_array_conversion(excel.convert_to_dataframe)
</code>
    </initialization>
  </environmentDefinition>
</python>
</file>

<file path=xl/sharedStrings.xml><?xml version="1.0" encoding="utf-8"?>
<sst xmlns="http://schemas.openxmlformats.org/spreadsheetml/2006/main" count="3046" uniqueCount="1232">
  <si>
    <t>FVE</t>
  </si>
  <si>
    <t xml:space="preserve">  </t>
  </si>
  <si>
    <t>Parametry FVE systému</t>
  </si>
  <si>
    <t>1.1</t>
  </si>
  <si>
    <t>Jaký je jmenovitý instalovaný výkon FVE ?</t>
  </si>
  <si>
    <t>kWp</t>
  </si>
  <si>
    <t>1.2</t>
  </si>
  <si>
    <t>Jaká je předpokládaná roční výroba elektrické energie z FVE ?</t>
  </si>
  <si>
    <t>kWh</t>
  </si>
  <si>
    <t>1.3</t>
  </si>
  <si>
    <t>Je součástí projektu instalace FVE také akumulace elektrické energie do baterie?</t>
  </si>
  <si>
    <t>Vyberte ano / ne</t>
  </si>
  <si>
    <t>1.4</t>
  </si>
  <si>
    <t>Jaká je jmenovitá kapacita instalované baterie ?</t>
  </si>
  <si>
    <t>1.5</t>
  </si>
  <si>
    <t>Jaká je celková roční spotřeba elektrické energie v budově / budovách, pro které se FVE instaluje ?</t>
  </si>
  <si>
    <t>Konec listu</t>
  </si>
  <si>
    <t>Viditelnost</t>
  </si>
  <si>
    <t>Hodnota buňky</t>
  </si>
  <si>
    <t>Hláška č.</t>
  </si>
  <si>
    <t>Hlášky…</t>
  </si>
  <si>
    <t>OK</t>
  </si>
  <si>
    <t>Zadejte instalovaný výkon.</t>
  </si>
  <si>
    <t>Hodnota není číslo.</t>
  </si>
  <si>
    <t>Výkon musí být kladný.</t>
  </si>
  <si>
    <t>Zadejte výrobu.</t>
  </si>
  <si>
    <t>Projekt je nezpůsobilý, protože FVE bez baterie není podporována.</t>
  </si>
  <si>
    <t>Zadejte kapacitu baterie.</t>
  </si>
  <si>
    <t>Název</t>
  </si>
  <si>
    <t>Jednotka</t>
  </si>
  <si>
    <t>Hodnota</t>
  </si>
  <si>
    <t>Minimální využití instalovaného výkonu FVE</t>
  </si>
  <si>
    <t>h/r</t>
  </si>
  <si>
    <t>Maximální využití instalovaného výkonu FVE</t>
  </si>
  <si>
    <t>Zadejte roční spotřebu elektřiny.</t>
  </si>
  <si>
    <t>Náhrada světelných zdrojů</t>
  </si>
  <si>
    <t>1</t>
  </si>
  <si>
    <t>Jakého typu jsou stávající světelné zdroje?</t>
  </si>
  <si>
    <t>1.1.1</t>
  </si>
  <si>
    <t>Jsou to klasické žárovky?</t>
  </si>
  <si>
    <t>1.1.2</t>
  </si>
  <si>
    <t>Jaký je jejich počet?</t>
  </si>
  <si>
    <t>1.1.3</t>
  </si>
  <si>
    <t>Znáte celkový příkon všech klasických žárovek?</t>
  </si>
  <si>
    <t>1.1.4</t>
  </si>
  <si>
    <t>Uveďte jejich celkový příkon</t>
  </si>
  <si>
    <t>W</t>
  </si>
  <si>
    <t>Jaký je průměrný příkon klasických žárovek?</t>
  </si>
  <si>
    <t>1.2.1</t>
  </si>
  <si>
    <t>Halogenové žárovky</t>
  </si>
  <si>
    <t>1.2.2</t>
  </si>
  <si>
    <t>1.2.3</t>
  </si>
  <si>
    <t>Znáte celkový příkon všech halogenových žárovek?</t>
  </si>
  <si>
    <t>1.2.4</t>
  </si>
  <si>
    <t>Jaký je průměrný příkon halogenových žárovek?</t>
  </si>
  <si>
    <t>1.3.1</t>
  </si>
  <si>
    <t>Zářivky</t>
  </si>
  <si>
    <t>1.3.2</t>
  </si>
  <si>
    <t>1.3.3</t>
  </si>
  <si>
    <t>Znáte celkový příkon všech zářivek?</t>
  </si>
  <si>
    <t>1.3.4</t>
  </si>
  <si>
    <t>Jaký je průměrný příkon zářivek?</t>
  </si>
  <si>
    <t>1.4.1</t>
  </si>
  <si>
    <t>Rtuťové výbojky</t>
  </si>
  <si>
    <t>1.4.2</t>
  </si>
  <si>
    <t>1.4.3</t>
  </si>
  <si>
    <t>Znáte celkový příkon všech rtuťových výbojek?</t>
  </si>
  <si>
    <t>1.4.4</t>
  </si>
  <si>
    <t>Jaký je průměrný příkon rtuťových výbojek?</t>
  </si>
  <si>
    <t>1.5.1</t>
  </si>
  <si>
    <t>Kompaktní zářivky (CFL)</t>
  </si>
  <si>
    <t>1.5.2</t>
  </si>
  <si>
    <t>1.5.3</t>
  </si>
  <si>
    <t>Znáte celkový příkon všech kompaktních zářivek?</t>
  </si>
  <si>
    <t>1.5.4</t>
  </si>
  <si>
    <t>Jaký je průměrný příkon kompaktních zářivek?</t>
  </si>
  <si>
    <t>2</t>
  </si>
  <si>
    <t>Stávající spotřeba elektřiny</t>
  </si>
  <si>
    <t>2.1.1</t>
  </si>
  <si>
    <t>Znáte celkovou spotřebu elektřiny všech světelných zdrojů?</t>
  </si>
  <si>
    <t>Uveďte spotřebu elektřiny</t>
  </si>
  <si>
    <t>2.2</t>
  </si>
  <si>
    <t>Kolik hodin denně jsou v průměru zapnuté všechny světelné zdroje?</t>
  </si>
  <si>
    <t>h</t>
  </si>
  <si>
    <t>d</t>
  </si>
  <si>
    <t>3</t>
  </si>
  <si>
    <t>PENB</t>
  </si>
  <si>
    <t>3.1</t>
  </si>
  <si>
    <t>Je výměna osvětlení zahrnuta v PENB?</t>
  </si>
  <si>
    <t>Vyberte ano/ne</t>
  </si>
  <si>
    <t>4</t>
  </si>
  <si>
    <t>Bilance spotřeby energie před výměnou po výměně světelných zdrojů</t>
  </si>
  <si>
    <t>Spotřeba elektrické energie</t>
  </si>
  <si>
    <t>Spotřeba před výměnou světlených zdrojů</t>
  </si>
  <si>
    <t>Spotřeba po výměně světelných zdrojů</t>
  </si>
  <si>
    <t>Úspora</t>
  </si>
  <si>
    <t>%</t>
  </si>
  <si>
    <r>
      <t>Snížení emisí  CO</t>
    </r>
    <r>
      <rPr>
        <vertAlign val="subscript"/>
        <sz val="11"/>
        <rFont val="Aptos Narrow"/>
        <family val="2"/>
        <charset val="238"/>
        <scheme val="minor"/>
      </rPr>
      <t>2</t>
    </r>
  </si>
  <si>
    <t>kg</t>
  </si>
  <si>
    <t>Úsporá nákladů za energii Kč</t>
  </si>
  <si>
    <t>Neobnovitelná primární energie</t>
  </si>
  <si>
    <t>Zadejte jejich počet.</t>
  </si>
  <si>
    <t>Počet musí být kladný.</t>
  </si>
  <si>
    <t>Za uvedených podmínek je příliš  vysoká pravděpodobnost překročení limitu přetoků do distribuční sítě. Výroba FVE musí být menší nebo rovna spotřebě.</t>
  </si>
  <si>
    <t>2.1</t>
  </si>
  <si>
    <t>Zadejte celkovou spotřebu elekřiny na osvětlení.</t>
  </si>
  <si>
    <t>Hodnota musí být kladná.</t>
  </si>
  <si>
    <t>Zadejte počet hodin.</t>
  </si>
  <si>
    <t>Hodnota musí být v rozsahu 0 - 24.</t>
  </si>
  <si>
    <t>Hodnota musí být v rozsahu 1 - 365.</t>
  </si>
  <si>
    <t>Zadejte počet dní.</t>
  </si>
  <si>
    <t>1.4.</t>
  </si>
  <si>
    <t>klasika</t>
  </si>
  <si>
    <t>halogen</t>
  </si>
  <si>
    <t>výbojka</t>
  </si>
  <si>
    <t>CFL</t>
  </si>
  <si>
    <t>zářivka</t>
  </si>
  <si>
    <t>příkon led</t>
  </si>
  <si>
    <t>světelný tok</t>
  </si>
  <si>
    <t>Typické parametry zdrojů</t>
  </si>
  <si>
    <t>příkon</t>
  </si>
  <si>
    <t>lm/W</t>
  </si>
  <si>
    <t>led</t>
  </si>
  <si>
    <t>Průměrný příkon [W]</t>
  </si>
  <si>
    <t>Minimální</t>
  </si>
  <si>
    <t>Maximální</t>
  </si>
  <si>
    <t>Klasické žárovky</t>
  </si>
  <si>
    <t>typ</t>
  </si>
  <si>
    <t>Zadejte průměrný příkon halogenových žárovek.</t>
  </si>
  <si>
    <t>Zadejte celkový příkon hlogenových žárovek.</t>
  </si>
  <si>
    <t>Zadejte celkový příkon klasických žárovek.</t>
  </si>
  <si>
    <t>Zadejte celkový příkon zářivek.</t>
  </si>
  <si>
    <t>Zadejte průměrný příkon zářivek.</t>
  </si>
  <si>
    <t>Zadejte celkový příkon rtuťových výbojek.</t>
  </si>
  <si>
    <t>Zadejte průměrný příkon rtuťových výbojek.</t>
  </si>
  <si>
    <t>Zadejte celkový příkon kompaktních zářivek.</t>
  </si>
  <si>
    <t>Zadejte průměrný příkon kompaktních zářivek.</t>
  </si>
  <si>
    <t>Zadejte průměrný příkon klasických žárovek.</t>
  </si>
  <si>
    <t>Jaký je počet uvažovaných pracovních dní za rok?</t>
  </si>
  <si>
    <t>Další řádek</t>
  </si>
  <si>
    <t>Výměna zdroje tepla</t>
  </si>
  <si>
    <t>Parametry stávajícího zdroje tepla</t>
  </si>
  <si>
    <t>O jaký typ zdroje se jedná?</t>
  </si>
  <si>
    <t>Vyberte</t>
  </si>
  <si>
    <t>kotel na tuhá paliva</t>
  </si>
  <si>
    <t>V jakém období byl zdroj vyroben?</t>
  </si>
  <si>
    <t>2000-2010</t>
  </si>
  <si>
    <t>Jaké se používá palivo?</t>
  </si>
  <si>
    <t>palivové dřevo</t>
  </si>
  <si>
    <t>Jak účinná je soustava zásobování teplem (SZT)?</t>
  </si>
  <si>
    <t>1.6</t>
  </si>
  <si>
    <t>Znáte účinnost zdroje?</t>
  </si>
  <si>
    <t>1.7</t>
  </si>
  <si>
    <t>Jaká je účinnost?</t>
  </si>
  <si>
    <t>Zatejte v %</t>
  </si>
  <si>
    <t>1.8</t>
  </si>
  <si>
    <t>Znáte sezónní účinnost (COP) tepelného čerpadla?</t>
  </si>
  <si>
    <t>1.9</t>
  </si>
  <si>
    <t>Zadejte sezónní účinnost tepelného čerpadla</t>
  </si>
  <si>
    <t>COP</t>
  </si>
  <si>
    <t>1.10</t>
  </si>
  <si>
    <t>Jaký je instalovaný výkon zdroje?</t>
  </si>
  <si>
    <t>kWt</t>
  </si>
  <si>
    <t>Parametry nového zdroje tepla</t>
  </si>
  <si>
    <t>Jaký je typ nového zdroje?</t>
  </si>
  <si>
    <t>kotel na odpadní dřevo</t>
  </si>
  <si>
    <t>Znáte účinnost nového zdroje?</t>
  </si>
  <si>
    <t>2.3</t>
  </si>
  <si>
    <t>2.4</t>
  </si>
  <si>
    <t>2.5</t>
  </si>
  <si>
    <t>2.6</t>
  </si>
  <si>
    <t>Je výměna kotle zahrnuta v PENB?</t>
  </si>
  <si>
    <t>Vyhodnocení plnění požadavků programu</t>
  </si>
  <si>
    <t>5</t>
  </si>
  <si>
    <t>Konečná spotřeba energie</t>
  </si>
  <si>
    <t>před realizací opatření</t>
  </si>
  <si>
    <t>kWh/rok</t>
  </si>
  <si>
    <t>po realizaci opatření</t>
  </si>
  <si>
    <t>úspora</t>
  </si>
  <si>
    <r>
      <t>Snížení emisí CO</t>
    </r>
    <r>
      <rPr>
        <vertAlign val="subscript"/>
        <sz val="11"/>
        <rFont val="Aptos Narrow"/>
        <family val="2"/>
        <charset val="238"/>
        <scheme val="minor"/>
      </rPr>
      <t>2</t>
    </r>
  </si>
  <si>
    <t>kg/rok</t>
  </si>
  <si>
    <t>Snížení nákladů na energii</t>
  </si>
  <si>
    <t>Kč/rok</t>
  </si>
  <si>
    <t>Starý zdroj</t>
  </si>
  <si>
    <t>kotel na zemní plyn</t>
  </si>
  <si>
    <t>elektrokotel</t>
  </si>
  <si>
    <t>kotel na topný olej</t>
  </si>
  <si>
    <t>tepelné čerpadlo</t>
  </si>
  <si>
    <t>centrální zásobování teplem</t>
  </si>
  <si>
    <t>hnědé uhlí</t>
  </si>
  <si>
    <t>zemní plyn</t>
  </si>
  <si>
    <t>elektřina</t>
  </si>
  <si>
    <t>topný olej</t>
  </si>
  <si>
    <t>černé uhlí</t>
  </si>
  <si>
    <t>pelety</t>
  </si>
  <si>
    <t>před 1980</t>
  </si>
  <si>
    <t>1980-2000</t>
  </si>
  <si>
    <t>2010 a novější</t>
  </si>
  <si>
    <t>Stáří kotle</t>
  </si>
  <si>
    <t>Vyberte typ zdroje.</t>
  </si>
  <si>
    <t>Vyberte období.</t>
  </si>
  <si>
    <t>Nesprávné palivo.</t>
  </si>
  <si>
    <t>Index vybraného typu zdroje</t>
  </si>
  <si>
    <t>Počet nositelů energie</t>
  </si>
  <si>
    <t>Vybraný nositel energie je v daném sloupci</t>
  </si>
  <si>
    <t>Počet nositelů energie vybraného zdroje</t>
  </si>
  <si>
    <t>typ SZT</t>
  </si>
  <si>
    <t>ostatní SZT</t>
  </si>
  <si>
    <t>Text</t>
  </si>
  <si>
    <t>m3</t>
  </si>
  <si>
    <t>Nositel</t>
  </si>
  <si>
    <t>paliva</t>
  </si>
  <si>
    <t>elektřiny</t>
  </si>
  <si>
    <t>l</t>
  </si>
  <si>
    <t>Index paliva</t>
  </si>
  <si>
    <t>Zadejte spotřebu.</t>
  </si>
  <si>
    <t>Spotřeba musí být kladná.</t>
  </si>
  <si>
    <t>Vyberte ano nebo ne.</t>
  </si>
  <si>
    <t>Zadejte účinnost.</t>
  </si>
  <si>
    <t>Zadejte COP.</t>
  </si>
  <si>
    <t>Instalovaný výkon musí být kladný.</t>
  </si>
  <si>
    <t>Minimální účinnost starého zdroje</t>
  </si>
  <si>
    <t>[%]</t>
  </si>
  <si>
    <t>Maximální účinnost starého zdroje</t>
  </si>
  <si>
    <t>Minimální COP starého TČ</t>
  </si>
  <si>
    <t>[1]</t>
  </si>
  <si>
    <t>Maximální COP starého TČ</t>
  </si>
  <si>
    <t>Období</t>
  </si>
  <si>
    <t>Účinnost vybraného zdroje</t>
  </si>
  <si>
    <t>Řádek OK</t>
  </si>
  <si>
    <t>Průběžně OK</t>
  </si>
  <si>
    <t>kotel na štěpku, pelety nebo brikety</t>
  </si>
  <si>
    <t>kotel na bioplyn</t>
  </si>
  <si>
    <t>bioplyn</t>
  </si>
  <si>
    <t>odpadní dřevo</t>
  </si>
  <si>
    <t>palivo</t>
  </si>
  <si>
    <t>kotel</t>
  </si>
  <si>
    <t>minimální účinnost</t>
  </si>
  <si>
    <t>defaultní účinnost</t>
  </si>
  <si>
    <t>Nový zdroj</t>
  </si>
  <si>
    <t>Vstupní nositel energie</t>
  </si>
  <si>
    <t>Minimální účiinost</t>
  </si>
  <si>
    <t>Defaultní účinnost</t>
  </si>
  <si>
    <t>maximální ůčinnost</t>
  </si>
  <si>
    <t>Maximální výkon</t>
  </si>
  <si>
    <t>maximální výkon</t>
  </si>
  <si>
    <t>Příliš vysoká účinnost.</t>
  </si>
  <si>
    <t>Zadejte výkon zdroje.</t>
  </si>
  <si>
    <t>Maximální účinnost</t>
  </si>
  <si>
    <t>Příliš vysoká hodnota COP.</t>
  </si>
  <si>
    <t>Je PENB</t>
  </si>
  <si>
    <t>Porušení podmínek</t>
  </si>
  <si>
    <t>Hlášení</t>
  </si>
  <si>
    <t>Kapacita baterie musí být větší než 0.</t>
  </si>
  <si>
    <t>Spotřeba musí být větší než 0.</t>
  </si>
  <si>
    <t>Vyberte typ soustavy. Pokud nevíte, zvolte "ostatní SZT".</t>
  </si>
  <si>
    <t>Příliš nízká hodnota COP.</t>
  </si>
  <si>
    <t>Příliš nízká účinnost.</t>
  </si>
  <si>
    <t>Kč</t>
  </si>
  <si>
    <t>ano</t>
  </si>
  <si>
    <t>ne</t>
  </si>
  <si>
    <t>Je instalován kotel na biomasu, je nutno doložit smlouvu nebo čestné prohlášení o zabezpečení dodávky biomasy z lokálních zdrojů či budoucího dodavatele.</t>
  </si>
  <si>
    <t>Nově instalovaný kotel na štěpku, pelety nebo brikety má vyšší příkon než 20 MW, nesplňuje poždavek programu.</t>
  </si>
  <si>
    <t>Nově instalovaný zdroj splňuje požadavek na účinnost podle vyhlášky 264/2020 Sb.</t>
  </si>
  <si>
    <t>Zateplení budovy</t>
  </si>
  <si>
    <t>1.</t>
  </si>
  <si>
    <t>Základní informace o budově</t>
  </si>
  <si>
    <t>Jakým způsobem budete zadávat projekt?</t>
  </si>
  <si>
    <t>Vyberte typ posuzované budovy</t>
  </si>
  <si>
    <t>1.3.</t>
  </si>
  <si>
    <t>Památková ochrana budovy</t>
  </si>
  <si>
    <t>Znáte roční spotřebu budovy?</t>
  </si>
  <si>
    <t>Jaká je roční spotřeba energie budovy?</t>
  </si>
  <si>
    <t>Jaká je celková vytápěná (energeticky vztažná) plocha?</t>
  </si>
  <si>
    <r>
      <t>m</t>
    </r>
    <r>
      <rPr>
        <vertAlign val="superscript"/>
        <sz val="11"/>
        <rFont val="Aptos Narrow"/>
        <family val="2"/>
        <charset val="238"/>
        <scheme val="minor"/>
      </rPr>
      <t>2</t>
    </r>
  </si>
  <si>
    <t>Období výstavby</t>
  </si>
  <si>
    <t xml:space="preserve">Vnitřní návrhová teplota v otopném období </t>
  </si>
  <si>
    <t>°C</t>
  </si>
  <si>
    <t>Jaký typ zdroje je instalován?</t>
  </si>
  <si>
    <t>1.11</t>
  </si>
  <si>
    <t>2.</t>
  </si>
  <si>
    <r>
      <t>W/(m</t>
    </r>
    <r>
      <rPr>
        <vertAlign val="superscript"/>
        <sz val="11"/>
        <rFont val="Aptos Narrow"/>
        <family val="2"/>
        <charset val="238"/>
        <scheme val="minor"/>
      </rPr>
      <t>2</t>
    </r>
    <r>
      <rPr>
        <sz val="11"/>
        <rFont val="Aptos Narrow"/>
        <family val="2"/>
        <charset val="238"/>
        <scheme val="minor"/>
      </rPr>
      <t>K)</t>
    </r>
  </si>
  <si>
    <r>
      <rPr>
        <b/>
        <sz val="11"/>
        <rFont val="Aptos Narrow"/>
        <family val="2"/>
        <charset val="238"/>
        <scheme val="minor"/>
      </rPr>
      <t>Vypočtená</t>
    </r>
    <r>
      <rPr>
        <sz val="11"/>
        <rFont val="Aptos Narrow"/>
        <family val="2"/>
        <charset val="238"/>
        <scheme val="minor"/>
      </rPr>
      <t xml:space="preserve"> hodnota dodané energie ER </t>
    </r>
    <r>
      <rPr>
        <b/>
        <sz val="11"/>
        <rFont val="Aptos Narrow"/>
        <family val="2"/>
        <charset val="238"/>
        <scheme val="minor"/>
      </rPr>
      <t>před realizací projektu</t>
    </r>
  </si>
  <si>
    <t>Vyhodnocení plnění požadavků na energetickou náročnost pro projekt jako celek</t>
  </si>
  <si>
    <t>Potvrďte, že jsou hodnoty zadány správně</t>
  </si>
  <si>
    <t>3.</t>
  </si>
  <si>
    <t>Vlastnosti budovy před realizací opatření</t>
  </si>
  <si>
    <t>Výběrem z předvolených možností definujte budovu, kterou chcete rekonstruovat v rámci programu</t>
  </si>
  <si>
    <t>Popis stávajících konstrukcí</t>
  </si>
  <si>
    <t>3.1.1</t>
  </si>
  <si>
    <t>Obvodový plášť</t>
  </si>
  <si>
    <t>Specifikujte konstrukci</t>
  </si>
  <si>
    <t>Vyberte z předvolených konstrukcí konstrukci, která nejvíce odpovídá vašemu objektu</t>
  </si>
  <si>
    <t>3.1.2</t>
  </si>
  <si>
    <t>Střecha</t>
  </si>
  <si>
    <t>Vyberte typ konstrukce</t>
  </si>
  <si>
    <t>"Šikmá střecha" znamená využívané podkroví, "Strop půdy" znamená nevytápěnou půdu</t>
  </si>
  <si>
    <t>Vyberte z předvolených konstrukcí konstrukci, která nejvíce odpovídá vašemu objektu, pokud je předvolená pouze 1 možnost, vyberte ji</t>
  </si>
  <si>
    <t>Podlaha, strop nad suterénem</t>
  </si>
  <si>
    <t>Pokud je v budově vytápěný suterén - zvolte "Podlaha na zemině"</t>
  </si>
  <si>
    <t>Okna</t>
  </si>
  <si>
    <t>Vyberte výplň, kterou hodláte měnit. Pokud měníte více typů výplní, zvolte tu , která odpovídá největší ploše měněných výplní.</t>
  </si>
  <si>
    <t>Dveře, vrata</t>
  </si>
  <si>
    <t>Vyberte dveřní výplň, kterou hodláte měnit. Pokud měníte více typů výplní, zvolte tu , která odpovídá největší ploše měněných výplní.</t>
  </si>
  <si>
    <t>Střešní okna, světlíky</t>
  </si>
  <si>
    <t>Pokud v budově nejsou střešní okna ani světlíky, nevybírejte nic a pokračujte vyplněním tabulky č. 4</t>
  </si>
  <si>
    <t>4.</t>
  </si>
  <si>
    <t>Opatření k realizaci</t>
  </si>
  <si>
    <t>Definujte parametry opatření, která hodláte realizovat v rámci programu</t>
  </si>
  <si>
    <t>4.1.</t>
  </si>
  <si>
    <t>Zateplení obvodového pláště</t>
  </si>
  <si>
    <t>4.1.2</t>
  </si>
  <si>
    <t>Typ zateplení</t>
  </si>
  <si>
    <t>Vyberte typ zateplení, které nejlépe charakterizuje vámi realizované. V případě realizace více typů, uveďte ten s největší plochou.</t>
  </si>
  <si>
    <t>4.1.3</t>
  </si>
  <si>
    <t>Tloušťka tepelné izolace [mm]</t>
  </si>
  <si>
    <t>4.1.4</t>
  </si>
  <si>
    <t>Plocha zateplované konstrukce [m2]</t>
  </si>
  <si>
    <t>4.1.5</t>
  </si>
  <si>
    <t>Součinitel prostupu tepla konstrukce z PENB [W/(m2.K)]</t>
  </si>
  <si>
    <r>
      <t>Zadejte hodnotu z Průkazu energetické náročnosti po realizaci projektu z tabulky a.1) požadavky na součinitel prostupu tepla - Vypočtená hodnota U</t>
    </r>
    <r>
      <rPr>
        <vertAlign val="subscript"/>
        <sz val="11"/>
        <rFont val="Aptos Narrow"/>
        <family val="2"/>
        <charset val="238"/>
        <scheme val="minor"/>
      </rPr>
      <t>j</t>
    </r>
  </si>
  <si>
    <t>4.1.6</t>
  </si>
  <si>
    <t>Součinitel prostupu tepla výpočet z kalkulačky  [W/(m2.K)]</t>
  </si>
  <si>
    <t>4.1.7</t>
  </si>
  <si>
    <t>Požadavek programu na U [W/(m2.K)]</t>
  </si>
  <si>
    <t>Hodnota je nastavená dle specifických podmínek programu a vámi zvoleného typu budovy a dalších kritérií</t>
  </si>
  <si>
    <t>4.1.8</t>
  </si>
  <si>
    <t>Vyhodnocení plnění požadavku</t>
  </si>
  <si>
    <t>4.2.</t>
  </si>
  <si>
    <t>Zateplení střechy</t>
  </si>
  <si>
    <t>4.2.2</t>
  </si>
  <si>
    <t>Vyberte typ zateplení, které nejlépe charakterizuje vámi realizované.  V případě realizace více typů, uveďte ten s největší plochou.</t>
  </si>
  <si>
    <t>4.2.3</t>
  </si>
  <si>
    <t>4.2.4</t>
  </si>
  <si>
    <t>4.2.5</t>
  </si>
  <si>
    <t>4.2.6</t>
  </si>
  <si>
    <t>4.2.7</t>
  </si>
  <si>
    <t>4.2.8</t>
  </si>
  <si>
    <t>4.3.</t>
  </si>
  <si>
    <t>Zateplení podlahy</t>
  </si>
  <si>
    <t>4.3.2</t>
  </si>
  <si>
    <t>4.3.3</t>
  </si>
  <si>
    <t>4.3.4</t>
  </si>
  <si>
    <t>4.3.5</t>
  </si>
  <si>
    <t>Zadejte hodnotu z Průkazu energetické náročnosti po realizaci projektu z tabulky a.1) požadavky na součinitel prostupu tepla - Vypočtená hodnota Uj</t>
  </si>
  <si>
    <t>4.3.6</t>
  </si>
  <si>
    <t>4.3.7</t>
  </si>
  <si>
    <t>Požadavek programu  [W/(m2.K)]</t>
  </si>
  <si>
    <t>4.3.8</t>
  </si>
  <si>
    <t>4.4.</t>
  </si>
  <si>
    <t>Výměna oken, výplní ve stěně</t>
  </si>
  <si>
    <t>4.4.2</t>
  </si>
  <si>
    <t>Typ oken</t>
  </si>
  <si>
    <t>Vyberte typ oken, která nejlépe charakterizují vámi realizované. V případě realizace více typů, uveďte ten s největší plochou</t>
  </si>
  <si>
    <t>4.4.3</t>
  </si>
  <si>
    <t xml:space="preserve"> Plocha vyměňovaných oken [m2]</t>
  </si>
  <si>
    <t>4.4.4</t>
  </si>
  <si>
    <t>Zadejte součinitel prostupu tepla nových oken [W/(m2.K)]</t>
  </si>
  <si>
    <t>4.4.5</t>
  </si>
  <si>
    <t>4.4.6</t>
  </si>
  <si>
    <t>4.5.</t>
  </si>
  <si>
    <t>Výměna dveří, vrat</t>
  </si>
  <si>
    <t>4.5.2</t>
  </si>
  <si>
    <t>Vyberte typ dveří, vrat</t>
  </si>
  <si>
    <t>Vyberte typ dveří, které nejlépe charakterizují vámi realizované. V případě realizace více typů, uveďte ten s největší plochou.</t>
  </si>
  <si>
    <t>4.5.3</t>
  </si>
  <si>
    <t>Plocha vyměňovaných dveří [m2]</t>
  </si>
  <si>
    <t>4.5.4</t>
  </si>
  <si>
    <t>Zadejte součinitel prostupu tepla [W/(m2.K)]</t>
  </si>
  <si>
    <t>4.5.5</t>
  </si>
  <si>
    <t>4.5.6</t>
  </si>
  <si>
    <t>4.6.</t>
  </si>
  <si>
    <t xml:space="preserve">Výměna střešních oken, světlíků </t>
  </si>
  <si>
    <t>4.6.2</t>
  </si>
  <si>
    <t>Vyperte typ oken</t>
  </si>
  <si>
    <t>4.6.3</t>
  </si>
  <si>
    <t xml:space="preserve"> Plocha vyměňovaných oken / světlíků [m2]</t>
  </si>
  <si>
    <t>4.6.4</t>
  </si>
  <si>
    <t>Zadejte součinitel prostupu tepla</t>
  </si>
  <si>
    <t>4.6.5</t>
  </si>
  <si>
    <t>4.6.6</t>
  </si>
  <si>
    <t>Zadejte účinnost rekuperace systému nuceného větrání v %</t>
  </si>
  <si>
    <t>Zadejte větraný objem v m3/h</t>
  </si>
  <si>
    <t>Je toto opatření součástí PENB? Vyberte ano / ne</t>
  </si>
  <si>
    <t>5.</t>
  </si>
  <si>
    <t>Vyhodnocení plnění požadavků na energetickou náročnost</t>
  </si>
  <si>
    <t>6.</t>
  </si>
  <si>
    <t>Před zateplením</t>
  </si>
  <si>
    <t>Po zateplení</t>
  </si>
  <si>
    <t>Úspora nákladů za energii Kč</t>
  </si>
  <si>
    <t>TZL</t>
  </si>
  <si>
    <t>jednotka</t>
  </si>
  <si>
    <t>PM10 v %</t>
  </si>
  <si>
    <t>PM2,5 v %</t>
  </si>
  <si>
    <t>kotel na tuhá paliva-před 1980-hnědé uhlí</t>
  </si>
  <si>
    <t>TZL kg/t</t>
  </si>
  <si>
    <t>TZL v kg/kg</t>
  </si>
  <si>
    <t>kotel na tuhá paliva-1980-2000-hnědé uhlí</t>
  </si>
  <si>
    <t>de minimis</t>
  </si>
  <si>
    <t>kotel na tuhá paliva-2000-2010-hnědé uhlí</t>
  </si>
  <si>
    <t>kotel na tuhá paliva-2010 a novější-hnědé uhlí</t>
  </si>
  <si>
    <t>kotel na tuhá paliva-před 1980-černé uhlí</t>
  </si>
  <si>
    <t>kotel na tuhá paliva-1980-2000-černé uhlí</t>
  </si>
  <si>
    <t>kotel na tuhá paliva-2000-2010-černé uhlí</t>
  </si>
  <si>
    <t>kotel na tuhá paliva-2010 a novější-černé uhlí</t>
  </si>
  <si>
    <t>kotel na tuhá paliva-před 1980-palivové dřevo</t>
  </si>
  <si>
    <t>kotel na tuhá paliva-1980-2000-palivové dřevo</t>
  </si>
  <si>
    <t>kotel na tuhá paliva-2000-2010-palivové dřevo</t>
  </si>
  <si>
    <t>kotel na tuhá paliva-2010 a novější-palivové dřevo</t>
  </si>
  <si>
    <t>kotel na tuhá paliva-před 1980-pelety</t>
  </si>
  <si>
    <t>kotel na tuhá paliva-1980-2000-pelety</t>
  </si>
  <si>
    <t>kotel na tuhá paliva-2000-2010-pelety</t>
  </si>
  <si>
    <t>kotel na tuhá paliva-2010 a novější-pelety</t>
  </si>
  <si>
    <t>1921 až 1945</t>
  </si>
  <si>
    <t>1946 až 1960</t>
  </si>
  <si>
    <t>1961 až 1980</t>
  </si>
  <si>
    <t>1981 až 1994</t>
  </si>
  <si>
    <t>1995 a dále</t>
  </si>
  <si>
    <r>
      <t>m</t>
    </r>
    <r>
      <rPr>
        <vertAlign val="superscript"/>
        <sz val="11"/>
        <rFont val="Aptos Narrow"/>
        <family val="2"/>
        <charset val="238"/>
        <scheme val="minor"/>
      </rPr>
      <t>3</t>
    </r>
  </si>
  <si>
    <t>GJ/m3</t>
  </si>
  <si>
    <t>Kč/m3</t>
  </si>
  <si>
    <t>10 Kč/m3 6,28-18,66 Kč za 1 m3</t>
  </si>
  <si>
    <t>TZL kg/10^6m3</t>
  </si>
  <si>
    <t>kg/m3</t>
  </si>
  <si>
    <t>GJ/kg</t>
  </si>
  <si>
    <t>Kč/kg</t>
  </si>
  <si>
    <t>3,4 Kč/kg</t>
  </si>
  <si>
    <t>kg/kg</t>
  </si>
  <si>
    <t>5,5 Kč/kg</t>
  </si>
  <si>
    <t>3,5 Kč/kg</t>
  </si>
  <si>
    <t>0 Kč/kg</t>
  </si>
  <si>
    <t>5,4 Kč/kg</t>
  </si>
  <si>
    <t>kg/t</t>
  </si>
  <si>
    <t>0 Kč/m3 - bioplyn z vlastního zdroje</t>
  </si>
  <si>
    <t>GJ/kWh</t>
  </si>
  <si>
    <t>Kč/kWh</t>
  </si>
  <si>
    <t>2,67 Kč/kWh akumulace 2,29-3,47, přímotop 2,67-2,86 Kč/kWh</t>
  </si>
  <si>
    <t>kg/MWh</t>
  </si>
  <si>
    <t>kg/kWh</t>
  </si>
  <si>
    <t>GJ/l</t>
  </si>
  <si>
    <t>Kč/l</t>
  </si>
  <si>
    <t>29,83 Kč/l</t>
  </si>
  <si>
    <t>kg/l</t>
  </si>
  <si>
    <t>elektřina ostatní</t>
  </si>
  <si>
    <t>5 Kč/kWh</t>
  </si>
  <si>
    <t>teplo</t>
  </si>
  <si>
    <t>Kč/GJ</t>
  </si>
  <si>
    <t>GJ</t>
  </si>
  <si>
    <t>Osvětlení</t>
  </si>
  <si>
    <t>Spotřeby výchozí</t>
  </si>
  <si>
    <t>Spotřeba z listu zateplení zadaná</t>
  </si>
  <si>
    <t>úspora GJ</t>
  </si>
  <si>
    <t>Spotřeba z listu zateplení bez zadání</t>
  </si>
  <si>
    <t>Zateplení</t>
  </si>
  <si>
    <t>Obecné zadaní projektu (vyplnění Kalkulačky)</t>
  </si>
  <si>
    <t>Zadání projektu na základě Průkazu energetické náročnosti</t>
  </si>
  <si>
    <t>typ budovy</t>
  </si>
  <si>
    <t>Administrativní budova</t>
  </si>
  <si>
    <t>Výrobní hala</t>
  </si>
  <si>
    <t>Skladová hala</t>
  </si>
  <si>
    <t>Zemědělská budova</t>
  </si>
  <si>
    <t>Budova pro vzdělávání</t>
  </si>
  <si>
    <t>Budova pro sport</t>
  </si>
  <si>
    <t>Budova pro zdravotnictví</t>
  </si>
  <si>
    <t>Budova pro ubytování a stravování</t>
  </si>
  <si>
    <t>Budova pro obchodní účely</t>
  </si>
  <si>
    <t>Vnitřní teplota</t>
  </si>
  <si>
    <t>Spotřeba zadaná</t>
  </si>
  <si>
    <t>Základní měrná potřeba energie objektu na vytápění</t>
  </si>
  <si>
    <t>kWh/m2</t>
  </si>
  <si>
    <t>Spotřeba celkem</t>
  </si>
  <si>
    <t>pro porovnání zda budova spadá pod 700 GJ</t>
  </si>
  <si>
    <t>Opatření, která budou realizovaná investicí</t>
  </si>
  <si>
    <t>U před</t>
  </si>
  <si>
    <t>Un20</t>
  </si>
  <si>
    <t>U požadavek</t>
  </si>
  <si>
    <t>vyhodnocení</t>
  </si>
  <si>
    <t>potřeba před kWh</t>
  </si>
  <si>
    <t>potřeba po</t>
  </si>
  <si>
    <t>úspora kWh</t>
  </si>
  <si>
    <t>úspora energie realizací opatření - kWh/m2</t>
  </si>
  <si>
    <t xml:space="preserve">nucené větrání </t>
  </si>
  <si>
    <t>Total</t>
  </si>
  <si>
    <t>Měrná potřeba energie objektu na vytápění po realizaci</t>
  </si>
  <si>
    <t>Spotřeba energie objektu na vytápění před realizací</t>
  </si>
  <si>
    <t>bráno z konstrukcí / z PENB</t>
  </si>
  <si>
    <t>Spotřeba energie objektu na vytápění po realizaci</t>
  </si>
  <si>
    <t>úspora z PENB</t>
  </si>
  <si>
    <t>stěny</t>
  </si>
  <si>
    <t>budova!$C$70:$C$70</t>
  </si>
  <si>
    <t>budova!$C$71:$C$73</t>
  </si>
  <si>
    <t>budova!$C$74:$C$77</t>
  </si>
  <si>
    <t>budova!$C$78:$C$85</t>
  </si>
  <si>
    <t>budova!$C$86:$C$89</t>
  </si>
  <si>
    <t>budova!$C$90:$C$95</t>
  </si>
  <si>
    <t>plochá střecha</t>
  </si>
  <si>
    <t>budova!$C$96:$C$96</t>
  </si>
  <si>
    <t>budova!$C$97:$C$99</t>
  </si>
  <si>
    <t>budova!$C$100:$C$100</t>
  </si>
  <si>
    <t>budova!$C$101:$C$103</t>
  </si>
  <si>
    <t>budova!$C$104:$C$105</t>
  </si>
  <si>
    <t>budova!$C$106:$C$110</t>
  </si>
  <si>
    <t>šikmá střecha</t>
  </si>
  <si>
    <t>budova!$C$111:$C$111</t>
  </si>
  <si>
    <t>budova!$C$112:$C$112</t>
  </si>
  <si>
    <t>budova!$C$113:$C$113</t>
  </si>
  <si>
    <t>budova!$C$114:$C$114</t>
  </si>
  <si>
    <t>budova!$C$115:$C$115</t>
  </si>
  <si>
    <t>budova!$C$116:$C$117</t>
  </si>
  <si>
    <t>strop půdy</t>
  </si>
  <si>
    <t>budova!$C$118:$C$119</t>
  </si>
  <si>
    <t>budova!$C$120:$C$122</t>
  </si>
  <si>
    <t>budova!$C$123:$C$126</t>
  </si>
  <si>
    <t>budova!$C$127:$C$132</t>
  </si>
  <si>
    <t>budova!$C$133:$C$138</t>
  </si>
  <si>
    <t>budova!$C$1369:$C$141</t>
  </si>
  <si>
    <t>nevytápěný suterén</t>
  </si>
  <si>
    <t>budova!$C$142:$C$143</t>
  </si>
  <si>
    <t>budova!$C$144:$C$146</t>
  </si>
  <si>
    <t>budova!$C$147:$C$152</t>
  </si>
  <si>
    <t>budova!$C$153:$C$157</t>
  </si>
  <si>
    <t>budova!$C$158:$C$162</t>
  </si>
  <si>
    <t>budova!$C$163:$C$166</t>
  </si>
  <si>
    <t>okna</t>
  </si>
  <si>
    <t>budova!$C$167:$C$174</t>
  </si>
  <si>
    <t>budova!$C$175:$C$182</t>
  </si>
  <si>
    <t>budova!$C$183:$C$190</t>
  </si>
  <si>
    <t>budova!$C$191:$C$198</t>
  </si>
  <si>
    <t>budova!$C$199:$C$207</t>
  </si>
  <si>
    <t>budova!$C$208:$C$214</t>
  </si>
  <si>
    <t>dveře-vrata</t>
  </si>
  <si>
    <t>budova!$C$215:$C$221</t>
  </si>
  <si>
    <t>budova!$C$222:$C$228</t>
  </si>
  <si>
    <t>budova!$C$229:$C$235</t>
  </si>
  <si>
    <t>budova!$C$236:$C$242</t>
  </si>
  <si>
    <t>budova!$C$243:$C$249</t>
  </si>
  <si>
    <t>budova!$C$250:$C$256</t>
  </si>
  <si>
    <t>střešní okna-světlíky</t>
  </si>
  <si>
    <t>budova!$C$257:$C$262</t>
  </si>
  <si>
    <t>budova!$C$263:$C$268</t>
  </si>
  <si>
    <t>budova!$C$269:$C$274</t>
  </si>
  <si>
    <t>budova!$C$275:$C$280</t>
  </si>
  <si>
    <t>budova!$C$281:$C$286</t>
  </si>
  <si>
    <t>budova!$C$287:$C$289</t>
  </si>
  <si>
    <t>podlaha na zemině</t>
  </si>
  <si>
    <t>budova!$C$290:$C$291</t>
  </si>
  <si>
    <t>budova!$C$292:$C$293</t>
  </si>
  <si>
    <t>budova!$C$294:$C$295</t>
  </si>
  <si>
    <t>budova!$C$296:$C$297</t>
  </si>
  <si>
    <t>budova!$C$298:$C$299</t>
  </si>
  <si>
    <t>budova!$C$300:$C$304</t>
  </si>
  <si>
    <t>Konstrukce</t>
  </si>
  <si>
    <t>Kce</t>
  </si>
  <si>
    <t>Součinitel prostupu tepla</t>
  </si>
  <si>
    <t>Požadavek U</t>
  </si>
  <si>
    <t>U rec</t>
  </si>
  <si>
    <t>zdivo z cihel pálených plných tloušťky 450 mm</t>
  </si>
  <si>
    <t>zdivo z děrovaných cihel a tvárnic tloušťky cca 300 mm</t>
  </si>
  <si>
    <t>zdivo ze škvárobetonu tloušťky 250 mm až 300 mm</t>
  </si>
  <si>
    <t>zdivo z děrovaných cihel a tvárnic</t>
  </si>
  <si>
    <t>zdivo z lehkých betonů tloušťky cca 300 mm</t>
  </si>
  <si>
    <t>panel z lehkého betonu tloušťky 240 mm až 300 mm</t>
  </si>
  <si>
    <t>zdivo z pórobetonu tloušťky cca 300 mm</t>
  </si>
  <si>
    <t>keramický panel tloušťky 250 mm až 300 mm bez tep. izolace</t>
  </si>
  <si>
    <t>kovoplastický panel (tzv. Boletický) tloušťky 120 mm</t>
  </si>
  <si>
    <t>železobetonový panel sendvičový tloušťky 190 až 240 mm</t>
  </si>
  <si>
    <t>zdivo z pórobetonových tvárnic tloušťky 400 mm</t>
  </si>
  <si>
    <t>panel z lehkého betonu tloušťky cca 350 mm</t>
  </si>
  <si>
    <t>keramický panel tloušťky 300 mm s tepelnou izolací</t>
  </si>
  <si>
    <t>železobetonový panel sendvičový tloušťky cca 300 mm</t>
  </si>
  <si>
    <t>stěna rekonstruovaný objekt (1995 - 2001)</t>
  </si>
  <si>
    <t>nová stěna (1995 - 2001)</t>
  </si>
  <si>
    <t>stěna lehká - nová od 2002</t>
  </si>
  <si>
    <t>stěna těžká - nová od 2002</t>
  </si>
  <si>
    <t>stěna nová od 2011</t>
  </si>
  <si>
    <t>plochá jednoplášťová střecha s vrstvou škvárobetonu</t>
  </si>
  <si>
    <t>plochá jednoplášťová střecha s tepelnou izolací z dutých cihel</t>
  </si>
  <si>
    <t>plochá dvouplášťová střecha s násypem</t>
  </si>
  <si>
    <t>plochá jednoplášťová střecha s pěnobetonem a heraklitem</t>
  </si>
  <si>
    <t>plochá jednoplášťová střecha s tepelnou izolací z plynosilikátových desek nebo pěnoskla</t>
  </si>
  <si>
    <t>plochá jednoplášťová střecha s tepelnou izolací z polystyrénu tl. 50 mm</t>
  </si>
  <si>
    <t>plochá dvouplášťová střecha s tepelnou izolací s minerálních vláken tloušťky 60 až 80 mm</t>
  </si>
  <si>
    <t>plochá jednoplášťová střecha s tepelnou izolací z polystyrénu tl. 100 mm</t>
  </si>
  <si>
    <t>plochá dvouplášťová střecha s tepelnou izolací s minerálních vláken tloušťky 120 mm</t>
  </si>
  <si>
    <t>plochá střecha 1995-2002</t>
  </si>
  <si>
    <t>plochá střecha těžká po roce 2002</t>
  </si>
  <si>
    <t>plochá střecha lehká po roce 2002</t>
  </si>
  <si>
    <t>plochá střecha po roce 2002</t>
  </si>
  <si>
    <t>plochá střecha po roce 2007</t>
  </si>
  <si>
    <t>šikmá střecha nezateplená</t>
  </si>
  <si>
    <t>šikmá střecha zateplená</t>
  </si>
  <si>
    <t>šikmá střecha realizace 1995-2002</t>
  </si>
  <si>
    <t>šikmá střecha po roce 2002</t>
  </si>
  <si>
    <t>stropy dřevěné trámové pod půdou s násypem škváry</t>
  </si>
  <si>
    <t>stropy keramické do ocelových nosníků pod půdou s násypem škváry</t>
  </si>
  <si>
    <t>stropy železobetonové pod půdou s násypem a potěrem</t>
  </si>
  <si>
    <t>stropy železobetonové pod půdou s vrstvou lehkého betonu</t>
  </si>
  <si>
    <t>stropy železobetonové panelové pod půdou s potěrem</t>
  </si>
  <si>
    <t>stropy keramické z panelů a vložek pod půdou s potěrem</t>
  </si>
  <si>
    <t>strop pod půdou - 1995-2002 - přípustná</t>
  </si>
  <si>
    <t>strop pod půdou - 1995-2002 - požadovaná</t>
  </si>
  <si>
    <t>strop pod půdou - po roce 2002</t>
  </si>
  <si>
    <t>stropy železobetonové nad suterénem s podlahou s PVC</t>
  </si>
  <si>
    <t>stropy železobetonové panelové nad suterénem s podlahou s PVC</t>
  </si>
  <si>
    <t>stropy keramické z panelů a vložek nad suterénem s podlahou s PVC</t>
  </si>
  <si>
    <t>podlaha nad nevytápěným prostorem do roku 2002</t>
  </si>
  <si>
    <t>podlaha s podlahovým vytápěním lehká</t>
  </si>
  <si>
    <t>podlaha s podlahovým vytápěním těžká</t>
  </si>
  <si>
    <t>strop nad nevytápěným prostorem po roce 2002</t>
  </si>
  <si>
    <t>okna dřevěná špaletová se 2 skly</t>
  </si>
  <si>
    <t>okna dřevěná jednoduchá s 1 sklem</t>
  </si>
  <si>
    <t>okna dřevěná zdvojená se 2 skly</t>
  </si>
  <si>
    <t>okna kovová zdvojená se 2 skly</t>
  </si>
  <si>
    <t>kopility</t>
  </si>
  <si>
    <t>sklobetonová stěna (luxfery)</t>
  </si>
  <si>
    <t>okna vyměněná před 2011</t>
  </si>
  <si>
    <t>okna vyměněná po roce 2011</t>
  </si>
  <si>
    <t>okna dřevěná jednoduchá s izolačním dvojsklem</t>
  </si>
  <si>
    <t>okna kovová jednoduchá s izolačním dvojsklem</t>
  </si>
  <si>
    <t>komůrkový polykarbonát</t>
  </si>
  <si>
    <t>okna nová po roce 2002</t>
  </si>
  <si>
    <t>okna nová po roce 2011</t>
  </si>
  <si>
    <t>okna do roku 2002</t>
  </si>
  <si>
    <t xml:space="preserve">okna repasovaná </t>
  </si>
  <si>
    <t>komůrkový polykarbonát tl. 16 mm</t>
  </si>
  <si>
    <t>komůrkový polykarbonát tl. 25 mm</t>
  </si>
  <si>
    <t>komůrkový polykarbonát tl. 32 mm</t>
  </si>
  <si>
    <t>dveře dřevěné prosklené s 1 sklem</t>
  </si>
  <si>
    <t>dveře dřevěné plné</t>
  </si>
  <si>
    <t>dveře kovové prosklené s 1 sklem</t>
  </si>
  <si>
    <t>dveře/vrata kovová plná</t>
  </si>
  <si>
    <t>vrata sekční tepelně izolační</t>
  </si>
  <si>
    <t>střešní okna dřevěná jednoduchá s 1 sklem</t>
  </si>
  <si>
    <t>střešní okna dřevěná jednoduchá s dvojsklem</t>
  </si>
  <si>
    <t>střešní svělíky kovové s 1 sklem</t>
  </si>
  <si>
    <t>střešní okna nová do roku 2007</t>
  </si>
  <si>
    <t>střešní okna nová po roce 2007</t>
  </si>
  <si>
    <t>střešní světlíky polykarbonát</t>
  </si>
  <si>
    <t>podlaha na zemině nezateplená</t>
  </si>
  <si>
    <t>podlaha na zemině zateplená</t>
  </si>
  <si>
    <t>podlaha na zemině po roce 2002 zateplená</t>
  </si>
  <si>
    <t>podlaha na zemině po roce 2007 zateplená</t>
  </si>
  <si>
    <t>podlaha na zemině po roce 2007 zateplená více</t>
  </si>
  <si>
    <t>Paliva vybraného zdroje</t>
  </si>
  <si>
    <t>Zdroj v budově</t>
  </si>
  <si>
    <t>Měrná spotřeba energie budovy (kWh/m2) - původní stav</t>
  </si>
  <si>
    <t>Index období</t>
  </si>
  <si>
    <t>Podlaha</t>
  </si>
  <si>
    <t>Účinnost</t>
  </si>
  <si>
    <t>Vyberte způsob zadání.</t>
  </si>
  <si>
    <t>Vyberte typ budovy</t>
  </si>
  <si>
    <t>Zadejte vnitřní teplotu v objektu, pozn. standartně 20°C pro pobyt osob</t>
  </si>
  <si>
    <t>Zdejte roční spotřebu energie budovy.</t>
  </si>
  <si>
    <t>Spotřeba energie musí být kladná.</t>
  </si>
  <si>
    <t>Plocha musí být kladná.</t>
  </si>
  <si>
    <t>Vyberte období výstavby.</t>
  </si>
  <si>
    <t>Zadejte hodnotu z PENB po realizaci z tabulky: Informace o stavebních prvcích a konstrukcích a technických systémech a.2) požadavky na průměrný součinitel prostupu tepla.</t>
  </si>
  <si>
    <r>
      <t>Minimální U [W/(m</t>
    </r>
    <r>
      <rPr>
        <vertAlign val="superscript"/>
        <sz val="11"/>
        <color theme="1"/>
        <rFont val="Calibri"/>
        <family val="2"/>
        <charset val="238"/>
      </rPr>
      <t>2</t>
    </r>
    <r>
      <rPr>
        <sz val="11"/>
        <color theme="1"/>
        <rFont val="Calibri"/>
        <family val="2"/>
        <charset val="238"/>
      </rPr>
      <t>K)]</t>
    </r>
  </si>
  <si>
    <t>Zadejte hodnotu z PENB po realizaci z tabulky: Energetická náročnost hodnocené budovy  e) požadavek na celkovou dodanou energii.</t>
  </si>
  <si>
    <t>Zadaná hodnota spotřeby je příliš nízká</t>
  </si>
  <si>
    <t>Minimální vnitřní teplota [°C]</t>
  </si>
  <si>
    <r>
      <t>Minimální měrná spotřeba tepla na jednotku vztažné plochy [kWh/m</t>
    </r>
    <r>
      <rPr>
        <vertAlign val="superscript"/>
        <sz val="11"/>
        <color theme="1"/>
        <rFont val="Calibri"/>
        <family val="2"/>
        <charset val="238"/>
      </rPr>
      <t>2</t>
    </r>
    <r>
      <rPr>
        <sz val="11"/>
        <color theme="1"/>
        <rFont val="Calibri"/>
        <family val="2"/>
        <charset val="238"/>
      </rPr>
      <t>]</t>
    </r>
  </si>
  <si>
    <t>Minimální úspora projektu [%]</t>
  </si>
  <si>
    <t>Minimální snížení U [%]</t>
  </si>
  <si>
    <t>Minimální snížení spotřeby energie [%]</t>
  </si>
  <si>
    <t>Zkontrolujte prosím správnost zadaných zadaných spotřeb (body 2.3, 2.4, 2.5) a vytápěné plochy (bod 1.6). Pokud jsou zadány správně, zvolte ano.</t>
  </si>
  <si>
    <t>Zadejte plochu.</t>
  </si>
  <si>
    <r>
      <t>Zadejte hodnotu z Průkazu energetické náročnosti po realizaci projektu z tabulky a.1) požadavky na součinitel prostupu tepla - Vypočtená hodnota U</t>
    </r>
    <r>
      <rPr>
        <vertAlign val="subscript"/>
        <sz val="11"/>
        <rFont val="Aptos Narrow"/>
        <family val="2"/>
        <charset val="238"/>
        <scheme val="minor"/>
      </rPr>
      <t>j</t>
    </r>
    <r>
      <rPr>
        <sz val="11"/>
        <rFont val="Aptos Narrow"/>
        <family val="2"/>
        <charset val="238"/>
        <scheme val="minor"/>
      </rPr>
      <t>.</t>
    </r>
  </si>
  <si>
    <t>Zadejte tloušťku izolace v mm.</t>
  </si>
  <si>
    <t>opatření</t>
  </si>
  <si>
    <t>Lambda</t>
  </si>
  <si>
    <t>Delta U</t>
  </si>
  <si>
    <t>zateplení kontaktní systém, MV</t>
  </si>
  <si>
    <t>zateplení kontaktní systém,  EPS</t>
  </si>
  <si>
    <t>zateplení kontaktní systém,  šedý polystyren</t>
  </si>
  <si>
    <t>zateplení kontaktní systém,  XPS</t>
  </si>
  <si>
    <t>zateplení kontaktní systém,  fenolová pěna</t>
  </si>
  <si>
    <t>zateplení, minerální tepelně-izolační desky (Multipor)</t>
  </si>
  <si>
    <t>zateplení PUR panel</t>
  </si>
  <si>
    <t>zateplení panel z MV</t>
  </si>
  <si>
    <t>zateplení skládaný plášť s obkladem, izolace MV</t>
  </si>
  <si>
    <t>zateplení skládaný plášť s obkladem, izolace EPS</t>
  </si>
  <si>
    <t>zateplení skládaný plášť s obkladem, izolace PUR</t>
  </si>
  <si>
    <t>zateplení ploché střechy, MV</t>
  </si>
  <si>
    <t>zateplení ploché střechy, EPS</t>
  </si>
  <si>
    <t>zateplení ploché střechy, XPS</t>
  </si>
  <si>
    <t>zateplení ploché střechy, polyuretan</t>
  </si>
  <si>
    <t>zateplení ploché střechy, polyuretan - minerální rouno</t>
  </si>
  <si>
    <t>zateplení ploché střechy, pěnové sklo</t>
  </si>
  <si>
    <t xml:space="preserve">zateplení šikmé střechy mezi a pod krokve, MV </t>
  </si>
  <si>
    <t xml:space="preserve">zateplení šikmé střechy mezi a pod krokve, celulózovou izolací </t>
  </si>
  <si>
    <t>zateplení šikmé střechy nad krokve, polyuretan</t>
  </si>
  <si>
    <t>zateplení šikmé střechy nad krokve, polystyren</t>
  </si>
  <si>
    <t>zateplení stropu půdy MV - volně ložená</t>
  </si>
  <si>
    <t>zateplení stropu půdy EPS - volně ložený</t>
  </si>
  <si>
    <t>zateplení stropu půdy MV - pochozí úprava</t>
  </si>
  <si>
    <t>zateplení stropu půdy EPS -  pochozí úprava</t>
  </si>
  <si>
    <t>zateplení stropu, MV</t>
  </si>
  <si>
    <t>zateplení stropu,  EPS</t>
  </si>
  <si>
    <t>zateplení stropu, XPS</t>
  </si>
  <si>
    <t>zateplení stropu, polyuretan</t>
  </si>
  <si>
    <t>zateplení stropu, šedý polystyren</t>
  </si>
  <si>
    <t xml:space="preserve">zateplení stropu celulózovou izolací </t>
  </si>
  <si>
    <t>zateplení v konstrukci podlahy, EPS</t>
  </si>
  <si>
    <t>zateplení v konstrukci podlahy, XPS</t>
  </si>
  <si>
    <t>zateplení v konstrukci podlahy, šedý polystyren</t>
  </si>
  <si>
    <t>zateplení v konstrukci podlahy, pěnové sklo</t>
  </si>
  <si>
    <t>plastová s izolačním dvojsklem</t>
  </si>
  <si>
    <t>dřevěná s izolačním dvojsklem</t>
  </si>
  <si>
    <t>kovová s přerušeným tepelným mostem s izolačním dvojsklem</t>
  </si>
  <si>
    <t>dřevo-hliníková s izolačním dvojsklem</t>
  </si>
  <si>
    <t>plast-hliníková s izolačním dvojsklem</t>
  </si>
  <si>
    <t>dřevěná s izolačním trojsklem</t>
  </si>
  <si>
    <t>plastová s izolačním trojsklem</t>
  </si>
  <si>
    <t>kovová s přerušeným tepelným mostem s izolačním trojsklem</t>
  </si>
  <si>
    <t>dřevo-hliníková s izolačním trojsklem</t>
  </si>
  <si>
    <t>plast-hliníková s izolačním trojsklem</t>
  </si>
  <si>
    <t>dveře dřevěné</t>
  </si>
  <si>
    <t>dveře kovové</t>
  </si>
  <si>
    <t>dveře plastové</t>
  </si>
  <si>
    <t>vrata tepelně izolační</t>
  </si>
  <si>
    <t>střešní světlíky</t>
  </si>
  <si>
    <t>Výběr</t>
  </si>
  <si>
    <t>Index</t>
  </si>
  <si>
    <t>U po z PENB</t>
  </si>
  <si>
    <t>U po kalk</t>
  </si>
  <si>
    <t>Nesprávná kombinace typu střechy v bodu 3.1.2 a způsobu zateplení.</t>
  </si>
  <si>
    <t>Nesprávná kombinace typu podlahy v bodu 3.1.5 a způsobu zateplení.</t>
  </si>
  <si>
    <t>dveře dřevěné prosklené izolačním dvojsklem</t>
  </si>
  <si>
    <t>dveře kovové prosklené izolačním dvojsklem</t>
  </si>
  <si>
    <t>stropy dřevěné trámové nad suterénem s dřevěnou podlahou</t>
  </si>
  <si>
    <t>stropy keramické do ocelových nosníků nad suterénem s dřevěnou podlahou</t>
  </si>
  <si>
    <t>stropy železobetonové nad suterénem s dřevěnou podlahou</t>
  </si>
  <si>
    <t>Maximální tloušťka izolace [mm]</t>
  </si>
  <si>
    <t>Minimální součinitel prostupu tepla konstrukce z PENB [W/(m2.K)]</t>
  </si>
  <si>
    <t>Maximální součinitel prostupu tepla konstrukce z PENB [W/(m2.K)]</t>
  </si>
  <si>
    <t>Střecha OK</t>
  </si>
  <si>
    <t>Podlaha OK</t>
  </si>
  <si>
    <t>Výsledné parametry</t>
  </si>
  <si>
    <t>střecha</t>
  </si>
  <si>
    <t>podlaha</t>
  </si>
  <si>
    <t>dveře</t>
  </si>
  <si>
    <t>světlíky</t>
  </si>
  <si>
    <t>vytvořil:</t>
  </si>
  <si>
    <t>Nástroj k posouzení potenciálu úspor energie v programu Úspory energie</t>
  </si>
  <si>
    <t>u klientů Národní rozvojové banky realizací jednoho až čtyř úsporných opatření nebo jejich kombinací.</t>
  </si>
  <si>
    <t>0. Vyplňte identifikační údaje</t>
  </si>
  <si>
    <t>Vyplněnost</t>
  </si>
  <si>
    <t>Způsobilost</t>
  </si>
  <si>
    <t>Název projektu:</t>
  </si>
  <si>
    <t>Klient:</t>
  </si>
  <si>
    <t>IČ klienta:</t>
  </si>
  <si>
    <t>Adresa žadatele:</t>
  </si>
  <si>
    <t>Adresa místa realizace projektu:</t>
  </si>
  <si>
    <t>Popis projektu:</t>
  </si>
  <si>
    <t>1. Vyplňte povinné údaje</t>
  </si>
  <si>
    <t>Součástí projektu je náhrada zařízení, které již nelze používat ze zákona.</t>
  </si>
  <si>
    <t>Způsob veřejné podpory</t>
  </si>
  <si>
    <t>2. Zaškrtněte, jaká opatření plánujete realizovat:</t>
  </si>
  <si>
    <t>3. Vyplňte údaje o výdajích</t>
  </si>
  <si>
    <t>Celkové výdaje na technické zhodnocení stavby (materiál a práce pro provedení zateplení, výměna u stavebních otvorů, další stavební práce spojené s provedením energetického opatření)</t>
  </si>
  <si>
    <t>Celkové výdaje na výměnu stávajícího zdroje energie (výměna kotle, apod.)</t>
  </si>
  <si>
    <t xml:space="preserve">Celkové výdaje na provedení výměny stávajícího osvětlení v budovách </t>
  </si>
  <si>
    <t>Celkové výdaje na FVE</t>
  </si>
  <si>
    <t>Jen tento list:</t>
  </si>
  <si>
    <t>Celkové způsobilé výdaje</t>
  </si>
  <si>
    <t>4. Vyplňte postupně následující formuláře:</t>
  </si>
  <si>
    <t>Všechny listy:</t>
  </si>
  <si>
    <t>5. Výsledky</t>
  </si>
  <si>
    <t>Celkem / Total</t>
  </si>
  <si>
    <t xml:space="preserve">Roční výroba FVE </t>
  </si>
  <si>
    <t>Roční úspora emisí tuhých látek [kg]</t>
  </si>
  <si>
    <t>Roční úspora nákladů na energii [Kč]</t>
  </si>
  <si>
    <t>Celkové vyhodnocení</t>
  </si>
  <si>
    <t>6. Specifikace realizovaných opatření</t>
  </si>
  <si>
    <t>Realizovaná opatření</t>
  </si>
  <si>
    <t>Popis opatření</t>
  </si>
  <si>
    <t>Vyhodnocení opatření</t>
  </si>
  <si>
    <t>Heslo:</t>
  </si>
  <si>
    <t>5. FVE</t>
  </si>
  <si>
    <t>Rekuperace tepla</t>
  </si>
  <si>
    <t>Zadejte větraný objem vzduchu.</t>
  </si>
  <si>
    <t>Větrané množství vzduchu musí být kladné.</t>
  </si>
  <si>
    <t>Minimální účinnost rekuperace [%]</t>
  </si>
  <si>
    <t>Základní informace o rekuperaci tepla</t>
  </si>
  <si>
    <t>Zadejte účinnost rekuperace.</t>
  </si>
  <si>
    <t>Účinnost musí být v rozmezí 0 - 100 %.</t>
  </si>
  <si>
    <t>Vyhodnocení rekuperace tepla</t>
  </si>
  <si>
    <t>Rekuperace tepla vyhovuje podmínkám programu.</t>
  </si>
  <si>
    <t>Název listu</t>
  </si>
  <si>
    <t>ParametryZateplení</t>
  </si>
  <si>
    <t>Parametry</t>
  </si>
  <si>
    <t>Budova</t>
  </si>
  <si>
    <t>Budova_Opatření</t>
  </si>
  <si>
    <t>ParametryRekuperace</t>
  </si>
  <si>
    <t>Zdroj</t>
  </si>
  <si>
    <t>Globální</t>
  </si>
  <si>
    <t>ParametryZdroje</t>
  </si>
  <si>
    <t>ParametryOsvětlení</t>
  </si>
  <si>
    <t>ParametryFVE</t>
  </si>
  <si>
    <t>Listy</t>
  </si>
  <si>
    <t>Zatržení</t>
  </si>
  <si>
    <t>Tlačítko</t>
  </si>
  <si>
    <t>BtnGoZdroj</t>
  </si>
  <si>
    <t>BtnGoZateplení</t>
  </si>
  <si>
    <t>BtnGoRekuperace</t>
  </si>
  <si>
    <t>BtnGoOsvětlení</t>
  </si>
  <si>
    <t>BtnGoFVE</t>
  </si>
  <si>
    <t>Energetické vyhodnocení projektu</t>
  </si>
  <si>
    <t xml:space="preserve">v programu podpory Úspory energie </t>
  </si>
  <si>
    <t>Identifikační údaje</t>
  </si>
  <si>
    <t xml:space="preserve">Vysvětlivky pro žadatele:
• Odpovězte prosím na otázky v checklistu ano / ne / není relevantní.
• Po zaškrtnutí odpovědí pokračujte prosím podpisem prohlášení. 
</t>
  </si>
  <si>
    <t>Checklist</t>
  </si>
  <si>
    <t>Označte pomocí x  jednu z možností</t>
  </si>
  <si>
    <t>není relevantní</t>
  </si>
  <si>
    <t>Předpokládané výdaje na realizaci projektu:</t>
  </si>
  <si>
    <t>Výdaje na technické zhodnocení stavby (materiál a práce pro provedení zateplení, výměna u stavebních otvorů, další stavební práce spojené s provedením energetického opatření)</t>
  </si>
  <si>
    <t>Výdaje na výměnu stávajícího zdroje energie (výměna kotle, apod.)</t>
  </si>
  <si>
    <t xml:space="preserve">Výdaje na provedení výměny stávajícího osvětlení v budovách </t>
  </si>
  <si>
    <t>Výdaje na FVE</t>
  </si>
  <si>
    <t>Výdaje celkem</t>
  </si>
  <si>
    <t>Dosažené výsledky projektu:</t>
  </si>
  <si>
    <r>
      <t>Roční úspora  emisí CO</t>
    </r>
    <r>
      <rPr>
        <b/>
        <vertAlign val="subscript"/>
        <sz val="11"/>
        <rFont val="Aptos Narrow"/>
        <family val="2"/>
        <charset val="238"/>
        <scheme val="minor"/>
      </rPr>
      <t>2</t>
    </r>
    <r>
      <rPr>
        <b/>
        <sz val="11"/>
        <rFont val="Aptos Narrow"/>
        <family val="2"/>
        <charset val="238"/>
        <scheme val="minor"/>
      </rPr>
      <t xml:space="preserve"> [kg] </t>
    </r>
  </si>
  <si>
    <r>
      <t>Roční úspora emisí CO</t>
    </r>
    <r>
      <rPr>
        <b/>
        <vertAlign val="subscript"/>
        <sz val="11"/>
        <rFont val="Aptos Narrow"/>
        <family val="2"/>
        <charset val="238"/>
        <scheme val="minor"/>
      </rPr>
      <t>2</t>
    </r>
    <r>
      <rPr>
        <b/>
        <sz val="11"/>
        <rFont val="Aptos Narrow"/>
        <family val="2"/>
        <charset val="238"/>
        <scheme val="minor"/>
      </rPr>
      <t xml:space="preserve"> [%]</t>
    </r>
  </si>
  <si>
    <r>
      <t>Roční úspora emisí frakcí PM</t>
    </r>
    <r>
      <rPr>
        <b/>
        <vertAlign val="subscript"/>
        <sz val="11"/>
        <rFont val="Aptos Narrow"/>
        <family val="2"/>
        <charset val="238"/>
        <scheme val="minor"/>
      </rPr>
      <t>10</t>
    </r>
    <r>
      <rPr>
        <b/>
        <sz val="11"/>
        <rFont val="Aptos Narrow"/>
        <family val="2"/>
        <charset val="238"/>
        <scheme val="minor"/>
      </rPr>
      <t xml:space="preserve"> [kg]</t>
    </r>
  </si>
  <si>
    <r>
      <t>Roční úspora emisí  frakcí PM</t>
    </r>
    <r>
      <rPr>
        <b/>
        <vertAlign val="subscript"/>
        <sz val="11"/>
        <rFont val="Aptos Narrow"/>
        <family val="2"/>
        <charset val="238"/>
        <scheme val="minor"/>
      </rPr>
      <t>2,5</t>
    </r>
    <r>
      <rPr>
        <b/>
        <sz val="11"/>
        <rFont val="Aptos Narrow"/>
        <family val="2"/>
        <charset val="238"/>
        <scheme val="minor"/>
      </rPr>
      <t xml:space="preserve"> [kg]</t>
    </r>
  </si>
  <si>
    <t>Projekt,  který  je předmětem  energetického  posouzení generuje  roční úsporu  primárních  energetických  vstupů  v hodnotě</t>
  </si>
  <si>
    <t>Způsobilé výdaje pro realizaci projektu jsou ve výši</t>
  </si>
  <si>
    <r>
      <t>Výše roční úspory emisí CO</t>
    </r>
    <r>
      <rPr>
        <b/>
        <vertAlign val="subscript"/>
        <sz val="11"/>
        <rFont val="Aptos Narrow"/>
        <family val="2"/>
        <charset val="238"/>
        <scheme val="minor"/>
      </rPr>
      <t>2</t>
    </r>
    <r>
      <rPr>
        <b/>
        <sz val="11"/>
        <rFont val="Aptos Narrow"/>
        <family val="2"/>
        <charset val="238"/>
        <scheme val="minor"/>
      </rPr>
      <t xml:space="preserve"> realizované projektem jsou ve výši</t>
    </r>
  </si>
  <si>
    <r>
      <t>Měrné způsobilé výdaje na snížení CO</t>
    </r>
    <r>
      <rPr>
        <b/>
        <vertAlign val="subscript"/>
        <sz val="11"/>
        <rFont val="Aptos Narrow"/>
        <family val="2"/>
        <charset val="238"/>
        <scheme val="minor"/>
      </rPr>
      <t>2</t>
    </r>
  </si>
  <si>
    <t>Žadatel je povinen realizovat projekt dle zadaných parametrů v rozsahu popisu zadanými pro správné vyhodnocení energetické úspory. V případě, že by došlo během realizace k odchýlení od plánovaného stavu, je žadatel povinen předložit nové energetické posouzení, které prokáže, že projekt splňuje parametry platné Výzvy programu Úspory energie - úvěry. V případě, že by energetické hodnocení nemohlo být použito pro nový stav, je žadatel povinen postupovat podle pravidel Výzvy, a to zpracovat energetický posudek a následně ověřovací energetický posudek, který prokáže splnění podmínek Výzvy.</t>
  </si>
  <si>
    <t>Dne</t>
  </si>
  <si>
    <t>Jméno osoby jednající za žadatele a podpis</t>
  </si>
  <si>
    <t>přepočet na původní palivo [kWh]</t>
  </si>
  <si>
    <t>přepočet na užitečné teplo [kWh]</t>
  </si>
  <si>
    <t>Spotřeba z listu zateplení před zateplením - PENB</t>
  </si>
  <si>
    <t>Spotřeba z listu zateplení po zateplení - PENB</t>
  </si>
  <si>
    <t>Spotřeba z konstrukcí před zateplením</t>
  </si>
  <si>
    <t>Spotřeba z konstrukcí po zateplení</t>
  </si>
  <si>
    <t>Úspora z konstrukcí</t>
  </si>
  <si>
    <t>Výchozí spotřeba osvětlení</t>
  </si>
  <si>
    <t>Koncová spotřeba osvětlení</t>
  </si>
  <si>
    <t>Jen_zdroj</t>
  </si>
  <si>
    <t>Jen_zateplení</t>
  </si>
  <si>
    <t>Zdroj_a_zateplení</t>
  </si>
  <si>
    <t>Zdroj/palivo</t>
  </si>
  <si>
    <t>Zadaný kotel</t>
  </si>
  <si>
    <t>Instalovaný výkon
[kWt]</t>
  </si>
  <si>
    <t>Výhřevnost
[GJ/m.j.]</t>
  </si>
  <si>
    <t>Účinnost
[%]</t>
  </si>
  <si>
    <t>Faktor primární energie
[1]</t>
  </si>
  <si>
    <t>Faktor TZL
[kg/m.j.]</t>
  </si>
  <si>
    <t>Faktor PM10
[%]</t>
  </si>
  <si>
    <t>Faktor PM2,5
[%]</t>
  </si>
  <si>
    <t>Faktor CO2
[kg/GJ]</t>
  </si>
  <si>
    <t>Měrná cena vstupu
[Kč/m.j.]</t>
  </si>
  <si>
    <t>Spotřeba na vstupu [m.j.]</t>
  </si>
  <si>
    <t>Spotřeba na vstupu [kWh]</t>
  </si>
  <si>
    <t>Výroba tepla
[kWh]</t>
  </si>
  <si>
    <t>Využití instalovaného výkonu
[h]</t>
  </si>
  <si>
    <t>Využití OK</t>
  </si>
  <si>
    <t>Emise CO2
[kg]</t>
  </si>
  <si>
    <t>Emise TZL
[kg]</t>
  </si>
  <si>
    <t>Emise PM10
[kg]</t>
  </si>
  <si>
    <t>Emise PM2,5
[kg]</t>
  </si>
  <si>
    <t>Výdaje za vstupy
[Kč]</t>
  </si>
  <si>
    <t>ÚSPORA</t>
  </si>
  <si>
    <t>Zadaný zdroj</t>
  </si>
  <si>
    <t>Bez zateplení + starý zdroj</t>
  </si>
  <si>
    <t>Starý zdroj na nepokrytou novou spotřebu</t>
  </si>
  <si>
    <t>Se zateplením + nový zdroj</t>
  </si>
  <si>
    <t>Nový stav</t>
  </si>
  <si>
    <t>Konečná spotřeba</t>
  </si>
  <si>
    <t>Energonositel</t>
  </si>
  <si>
    <t>Faktor primární energie z neobnovitelných zdrojů energie (-)</t>
  </si>
  <si>
    <t>SZT</t>
  </si>
  <si>
    <t>propan-butan/LPG</t>
  </si>
  <si>
    <t>Vstupy</t>
  </si>
  <si>
    <t>Primární</t>
  </si>
  <si>
    <t>Minimální podíl kapacity baterie k výkonu baterie</t>
  </si>
  <si>
    <t>Maximální podíl kapacity baterie k výkonu baterie</t>
  </si>
  <si>
    <t>Administrátorský přístup</t>
  </si>
  <si>
    <t>FVE vyhovuje podmínkám programu.</t>
  </si>
  <si>
    <t>Zateplení obvodových stěn nesplňuje podmínky programu.</t>
  </si>
  <si>
    <t>Zadejte plochu zateplované konstrukce.</t>
  </si>
  <si>
    <t>Zateplení střechy nesplňuje podmínky programu.</t>
  </si>
  <si>
    <t>Zateplení podlahy nesplňuje podmínky programu.</t>
  </si>
  <si>
    <t>Venkovní teplota (implicitně) [°C]</t>
  </si>
  <si>
    <t>Průměrná venkovní teplota v otopném období (implicitně) [°C]</t>
  </si>
  <si>
    <t>Délka otopného období (implicitně) [dny]</t>
  </si>
  <si>
    <t>Počet denostupňů teoretický [1]</t>
  </si>
  <si>
    <r>
      <t xml:space="preserve">Vyberte </t>
    </r>
    <r>
      <rPr>
        <b/>
        <sz val="11"/>
        <rFont val="Aptos Narrow"/>
        <family val="2"/>
        <scheme val="minor"/>
      </rPr>
      <t>bloková výjimka</t>
    </r>
    <r>
      <rPr>
        <sz val="11"/>
        <rFont val="Aptos Narrow"/>
        <family val="2"/>
        <scheme val="minor"/>
      </rPr>
      <t xml:space="preserve"> nebo </t>
    </r>
    <r>
      <rPr>
        <b/>
        <sz val="11"/>
        <rFont val="Aptos Narrow"/>
        <family val="2"/>
        <scheme val="minor"/>
      </rPr>
      <t>de minimis</t>
    </r>
  </si>
  <si>
    <r>
      <t>Roční úspora emisí CO</t>
    </r>
    <r>
      <rPr>
        <b/>
        <vertAlign val="subscript"/>
        <sz val="12"/>
        <color theme="0"/>
        <rFont val="Aptos Narrow"/>
        <family val="2"/>
        <scheme val="minor"/>
      </rPr>
      <t>2</t>
    </r>
    <r>
      <rPr>
        <b/>
        <sz val="12"/>
        <color theme="0"/>
        <rFont val="Aptos Narrow"/>
        <family val="2"/>
        <scheme val="minor"/>
      </rPr>
      <t xml:space="preserve"> [kg] </t>
    </r>
  </si>
  <si>
    <r>
      <t>Roční úspora emisí CO</t>
    </r>
    <r>
      <rPr>
        <b/>
        <vertAlign val="subscript"/>
        <sz val="12"/>
        <color theme="0"/>
        <rFont val="Aptos Narrow"/>
        <family val="2"/>
        <scheme val="minor"/>
      </rPr>
      <t>2</t>
    </r>
    <r>
      <rPr>
        <b/>
        <sz val="12"/>
        <color theme="0"/>
        <rFont val="Aptos Narrow"/>
        <family val="2"/>
        <scheme val="minor"/>
      </rPr>
      <t xml:space="preserve"> [%] </t>
    </r>
  </si>
  <si>
    <r>
      <t>Roční úspora emisí frakcí PM</t>
    </r>
    <r>
      <rPr>
        <b/>
        <vertAlign val="subscript"/>
        <sz val="12"/>
        <color theme="0"/>
        <rFont val="Aptos Narrow"/>
        <family val="2"/>
        <scheme val="minor"/>
      </rPr>
      <t>10</t>
    </r>
    <r>
      <rPr>
        <b/>
        <sz val="12"/>
        <color theme="0"/>
        <rFont val="Aptos Narrow"/>
        <family val="2"/>
        <scheme val="minor"/>
      </rPr>
      <t xml:space="preserve"> [kg]</t>
    </r>
  </si>
  <si>
    <r>
      <t>Roční úspora emisí  frakcí PM</t>
    </r>
    <r>
      <rPr>
        <b/>
        <vertAlign val="subscript"/>
        <sz val="12"/>
        <color theme="0"/>
        <rFont val="Aptos Narrow"/>
        <family val="2"/>
        <scheme val="minor"/>
      </rPr>
      <t>2,5</t>
    </r>
    <r>
      <rPr>
        <b/>
        <sz val="12"/>
        <color theme="0"/>
        <rFont val="Aptos Narrow"/>
        <family val="2"/>
        <scheme val="minor"/>
      </rPr>
      <t xml:space="preserve"> [kg]</t>
    </r>
  </si>
  <si>
    <t>Stěny</t>
  </si>
  <si>
    <t>Dveře</t>
  </si>
  <si>
    <t>Světlíky</t>
  </si>
  <si>
    <t>Rekuperace</t>
  </si>
  <si>
    <t>Zadejte součinitel prostupu tepla.</t>
  </si>
  <si>
    <t>Kategorie</t>
  </si>
  <si>
    <t>období</t>
  </si>
  <si>
    <t>konstrukce</t>
  </si>
  <si>
    <t>do 1920</t>
  </si>
  <si>
    <t>LHV</t>
  </si>
  <si>
    <t>Jednotka LHV</t>
  </si>
  <si>
    <r>
      <t>EF CO</t>
    </r>
    <r>
      <rPr>
        <b/>
        <vertAlign val="subscript"/>
        <sz val="11"/>
        <rFont val="Aptos Narrow"/>
        <family val="2"/>
        <scheme val="minor"/>
      </rPr>
      <t>2</t>
    </r>
    <r>
      <rPr>
        <b/>
        <sz val="11"/>
        <rFont val="Aptos Narrow"/>
        <family val="2"/>
        <scheme val="minor"/>
      </rPr>
      <t xml:space="preserve"> [kg CO</t>
    </r>
    <r>
      <rPr>
        <b/>
        <vertAlign val="subscript"/>
        <sz val="11"/>
        <rFont val="Aptos Narrow"/>
        <family val="2"/>
        <scheme val="minor"/>
      </rPr>
      <t>2</t>
    </r>
    <r>
      <rPr>
        <b/>
        <sz val="11"/>
        <rFont val="Aptos Narrow"/>
        <family val="2"/>
        <scheme val="minor"/>
      </rPr>
      <t>/GJ]</t>
    </r>
  </si>
  <si>
    <t>Cena</t>
  </si>
  <si>
    <t>Jednotka ceny</t>
  </si>
  <si>
    <t>Rozmezí ceny</t>
  </si>
  <si>
    <t>TZL_t</t>
  </si>
  <si>
    <t>Jednotka TZL_t</t>
  </si>
  <si>
    <t>TZL_kg</t>
  </si>
  <si>
    <t>Jednotka TZL_kg</t>
  </si>
  <si>
    <t>PM10 [%]</t>
  </si>
  <si>
    <t>PM2,5 [%]</t>
  </si>
  <si>
    <r>
      <t>EF CO</t>
    </r>
    <r>
      <rPr>
        <b/>
        <vertAlign val="subscript"/>
        <sz val="11"/>
        <color theme="0"/>
        <rFont val="Aptos Narrow"/>
        <family val="2"/>
        <scheme val="minor"/>
      </rPr>
      <t>2</t>
    </r>
    <r>
      <rPr>
        <b/>
        <sz val="11"/>
        <color theme="0"/>
        <rFont val="Aptos Narrow"/>
        <family val="2"/>
        <scheme val="minor"/>
      </rPr>
      <t xml:space="preserve"> [kg CO</t>
    </r>
    <r>
      <rPr>
        <b/>
        <vertAlign val="subscript"/>
        <sz val="11"/>
        <color theme="0"/>
        <rFont val="Aptos Narrow"/>
        <family val="2"/>
        <scheme val="minor"/>
      </rPr>
      <t>2</t>
    </r>
    <r>
      <rPr>
        <b/>
        <sz val="11"/>
        <color theme="0"/>
        <rFont val="Aptos Narrow"/>
        <family val="2"/>
        <scheme val="minor"/>
      </rPr>
      <t>/GJ]</t>
    </r>
  </si>
  <si>
    <t>zdroj budova</t>
  </si>
  <si>
    <t>zdroj starý</t>
  </si>
  <si>
    <t>zdroj nový</t>
  </si>
  <si>
    <t>GJ/GJ</t>
  </si>
  <si>
    <t>CZT budova</t>
  </si>
  <si>
    <t>CZT starý zdroj</t>
  </si>
  <si>
    <t>budova</t>
  </si>
  <si>
    <t>starý</t>
  </si>
  <si>
    <t>nový</t>
  </si>
  <si>
    <t>Výsledná účinnost:</t>
  </si>
  <si>
    <t>idx</t>
  </si>
  <si>
    <t>kWh =&gt; GJ</t>
  </si>
  <si>
    <t>Kotel - období - palivo</t>
  </si>
  <si>
    <t>TZL2</t>
  </si>
  <si>
    <t>jednotka3</t>
  </si>
  <si>
    <t>Upož</t>
  </si>
  <si>
    <t>Upož,20</t>
  </si>
  <si>
    <t>Opatření pro zateplení splňují požadavky programu.</t>
  </si>
  <si>
    <t>Opatření pro zateplení nesplňují požadavky programu.</t>
  </si>
  <si>
    <t>Okna nesplňují požadavky programu.</t>
  </si>
  <si>
    <t>Dveře/vrata nesplňují požadavky programu.</t>
  </si>
  <si>
    <t>Světlíky/střešní okna nesplňují požadavky programu.</t>
  </si>
  <si>
    <t>Zadejte plochu vyměňovaných oken.</t>
  </si>
  <si>
    <t>Zadejte plochu vyměňovaných dveří.</t>
  </si>
  <si>
    <t>účinná SZT</t>
  </si>
  <si>
    <t>Podpora</t>
  </si>
  <si>
    <t>bloková výjimka</t>
  </si>
  <si>
    <t>Další buňka</t>
  </si>
  <si>
    <t>Zadejte název projektu.</t>
  </si>
  <si>
    <t>Zadejte klienta.</t>
  </si>
  <si>
    <t>Zadejte IČ klienta.</t>
  </si>
  <si>
    <t>Zadejte adresu žadatele.</t>
  </si>
  <si>
    <t>Zadejte adresu místarealizace projektu</t>
  </si>
  <si>
    <t>Vyplňte popis projektu</t>
  </si>
  <si>
    <t>Vyberte způsob podpory</t>
  </si>
  <si>
    <t>Pro žádost dle blokové výjimky je nutný energetický posudek.</t>
  </si>
  <si>
    <t>3.2.1</t>
  </si>
  <si>
    <t>3.2.2</t>
  </si>
  <si>
    <t>3.3.1</t>
  </si>
  <si>
    <t>3.3.2</t>
  </si>
  <si>
    <t>3.4.1</t>
  </si>
  <si>
    <t>3.5.1</t>
  </si>
  <si>
    <t>3.6.1</t>
  </si>
  <si>
    <t>Vyberte z předvolených konstrukcí konstrukci, která nejvíce odpovídá vašemu objektu, pokud je předvolená pouze 1 možnost, vyberte ji.</t>
  </si>
  <si>
    <t>Spotřeba primární energie</t>
  </si>
  <si>
    <t>Nositele</t>
  </si>
  <si>
    <t>Výchozí [kWh]</t>
  </si>
  <si>
    <t>Konečná [kWh]</t>
  </si>
  <si>
    <t>Úspora [kWh]</t>
  </si>
  <si>
    <t>Výměna zdroje</t>
  </si>
  <si>
    <t xml:space="preserve">Výměna oken, výplní ve stěně </t>
  </si>
  <si>
    <t>Výměna střešních oken, světlíků</t>
  </si>
  <si>
    <t>Instalace mechanického větrání s rekuperací</t>
  </si>
  <si>
    <t>Výměna klasických žárovek</t>
  </si>
  <si>
    <t>Výměna halogenových žárovek</t>
  </si>
  <si>
    <t>Výměna zářivek</t>
  </si>
  <si>
    <t>Výměna rtuťových výbojek</t>
  </si>
  <si>
    <t>Výměna kompaktních zářivek (CFL)</t>
  </si>
  <si>
    <t>a)         V rámci Výzvy bude podpořen projekt, který prokáže úsporu energie v konečné spotřebě energie podle Tabulky č. 3 Analýza užití energie – bilance přínosu projektů uvedené v Příloze č. 3 k vyhlášce č. 141/2021 Sb. o energetickém posudku a o údajích vedených v Systému monitoringu spotřeby energie, v platném znění.</t>
  </si>
  <si>
    <t>d)        Podle § 25 odst. 5 zákona č. 165/2012 Sb., o podporovaných zdrojích energie a o změně některých zákonů ve znění pozdějších předpisů se investiční podpora tepla nevztahuje na solární systémy nebo systémy s tepelnými čerpadly, které by svým provozem zhoršily celkovou průměrnou roční účinnost stávajících účinných soustav zásobování tepelnou energií. Tyto soustavy zásobování tepelnou energií eviduje a způsobem umožňujícím dálkový přístup zveřejňuje Energetický regulační úřad do 30. dubna následujícího roku. V případě částečné náhrady dodávek energií ze SZTE, je možno projekt podpořit pouze se souhlasem vlastníka či provozovatele SZTE.</t>
  </si>
  <si>
    <t>f)          Zařízení pro ukládání energie musí ročně přijmout alespoň 75 % své energie z přímo připojeného zařízení na výrobu energie z obnovitelných zdrojů. Podpora na akumulaci elektrické energie může být poskytnuta pouze v případě, že akumulace je součástí investice do nové FVE. V případě projektů akumulace elektřiny je třeba prokázat množství přijaté energie akumulačním zařízením. Z toho vyplývá, že zařízení pro ukládání energie musí být osazeno mechanismem pro měření přijaté energie na bázi elektroměru nebo softwarového vyhodnocení přijaté energie.</t>
  </si>
  <si>
    <t xml:space="preserve">g)         Elektrická tepelná čerpadla a klimatizační zařízení musí splňovat podmínky, uvedené v Příloze č. 11 této Výzvy. </t>
  </si>
  <si>
    <t>h)        V případě elektrických tepelných čerpadel jsou splněny požadavky pro obnovitelnou energii u vytápění a chlazení v souladu se směrnicí (EU) 2018/2001, a pomocných technických zařízení. Minimální sezonní topný faktor je požadován ve výši 2,8.</t>
  </si>
  <si>
    <t>i)          Podpořeny budou pouze projekty, které splňují požadavky vyhlášky č. 452/2017 Sb., kterou se mění vyhláška č. 415/2012 Sb., o přípustné úrovni znečišťování a jejím zjišťování a o provedení některých dalších ustanovení o ochraně ovzduší, ve znění pozdějších předpisů.</t>
  </si>
  <si>
    <t xml:space="preserve">j)          Pokud nelze při stanovení výchozího stavu spotřeby energie předmětu energetického posudku postupovat na základě historie spotřeby energie stanovené pro ucelené období alespoň jednoho roku, postupuje se v souladu s vyhláškou č. 141/2021 Sb., v platném znění stanovením referenčního stavu. Referenčním stavem je spotřeba energie budovy stanovená na základě průkazu energetické náročnosti budovy pro stav po realizaci navržených úspor odpovídající 1,2 x ER - násobku spotřeby energie referenční budovy (pro všechny energetické ukazatele). Typický profil užívání je stanoven podrobně na základě skutečných projektových parametrů (nepřipouští se využití typického profilu užívání dle ČSN 730331-1). Pro stanovení výchozího stavu se uvažuje pro vytápění a přípravu teplé vody faktor primární energie zemního plynu, pro ostatní technické systémy faktor primární energie pro elektřinu.  Referenční stav na základě 1,2 x ER není možné použít pro budovy, které jsou v době podání žádosti o podporu rozestavěné a/nebo nezkolaudované.  </t>
  </si>
  <si>
    <t>k)         V případě realizace opatření ke snižování energetické náročnosti budov musí být provedeno hydraulické vyvážení otopné soustavy.</t>
  </si>
  <si>
    <t>l)          V rámci programu Nové Úspory energie nelze podporovat spotřebiče pro neprofesionální použití (zařízení pro domácnost) podle nařízení Evropského parlamentu a Rady 2017/1369 ze dne 4. července 2017, kterým se stanoví rámec pro označování energetickými štítky a zrušuje směrnice 2010/30/EU.</t>
  </si>
  <si>
    <t xml:space="preserve">m)      Pokud se na elektromotory a pohony vztahují požadavky na ekodesign a označování energetickými štítky, v příslušných případech splňují požadavky na nejvyšší třídu energetického štítku stanovené v nařízení (EU) 2017/1369 a požadavky prováděcích předpisů podle směrnice 2009/125/ES a představují nejlepší dostupnou technologii. </t>
  </si>
  <si>
    <t>n)        Pokud se na použité výrobky vztahují požadavky na  označování energetickými štítky stanovené v nařízení (EU) 2017/1369 a požadavky prováděcích předpisů podle směrnice 2009/125/ES, tak v příslušných případech splňují požadavky na  třídy energetického štítku podle přílohy č. 10 této Výzvy.</t>
  </si>
  <si>
    <t>o)        Přírodní chladiva chladících a mrazících zařízení musí být v souladu s Přílohou č. 11 této Výzvy.</t>
  </si>
  <si>
    <t>p)        zařízení musí být nové a současně musí být prokazatelné, že nahrazovaná zařízení již nejsou používána[3]</t>
  </si>
  <si>
    <t>r)          Projekty, které spadají pod integrovanou prevenci a omezování znečištění podle Přílohy č. 1 zákona č. 76/2002 Sb., o integrované prevenci a omezování znečištění, o integrovaném registru znečišťování a o změně některých zákonů, v platném znění (zákon o integrované prevenci), musí splňovat požadavky na úrovni nejlepších dostupných technik.</t>
  </si>
  <si>
    <t>t)          Pokud je pro danou kombinaci podpor relevantní, tak v případě investiční podpory bude odpovídajícím způsobem snížena vnitrostátní provozní podpora podle oznámení Evropské komise</t>
  </si>
  <si>
    <t>x)         Projekty obsahující návrh na kombinovanou výrobu elektřiny a tepla budou podporovány pouze v případě, pokud splní kritéria pro vysokoúčinnou výrobu elektřiny a tepla podle vyhlášky č. 37/2016 Sb. o elektřině z vysokoúčinné kombinované výroby elektřiny a tepla a elektřině z druhotných zdrojů.</t>
  </si>
  <si>
    <t>y)         Podpořeny nebudou výdaje související s výrobou, zpracováním, přepravou, distribucí, skladováním nebo spalováním fosilních paliv.</t>
  </si>
  <si>
    <t>z)         Tepelně technické vlastnosti budov jsou v souladu s požadavky, uvedenými v Příloze č. 8 Výzvy</t>
  </si>
  <si>
    <t>aa)     Emise jsou nejvýše na úrovni emisí spojené s rozsahem hodnot nejlepších dostupných technik (BAT-AEL) stanovených v relevantních závěrech o nejlepších dostupných technikách (BAT), včetně závěrů o nejlepších dostupných technikách (BAT) pro předmětné odvětví.</t>
  </si>
  <si>
    <t xml:space="preserve">q)        	Projekt musí být realizován na území ČR mimo NUTS II Praha.
●        	V rámci projektu lze uplatnit pouze jedno místo realizace. Místo realizace musí být součástí jednoho energetického hospodářství a zároveň se bude jednat o ucelené území podle katastrální mapy. 
●        	Projekt nesmí být realizován na následujících objektech  :
●        	rodinný rekreační dům, 
●        	bytový dům,
●        	rodinný dům
●        	veřejné budovy (budovy vlastnictví státu, obcí, ústředních orgánů státní správy a právnických osob jimi založených či zřízených a používaných k činnostem, které nejsou podnikáním) </t>
  </si>
  <si>
    <t>s)        	Pro podporu využití obnovitelných zdrojů energie na pevnou biomasu jsou následující podmínky:
●        	Biomasou se rozumí přirozená dřevní hmota (kusové palivo, štěpka, pelety) bez jakýchkoliv příměsí jiných hmot (např. uhlí)
●        	Zdroj biomasy musí být do 250 km (musí se doložit smlouvou o smlouvě budoucí s dodavatelem biomasy)
●        	Max. výkon zařízení = 1 MW
●        	Zařízení musí splňovat emisní limity
●        	Musí dojít k docílení alespoň 80 % úspory emisí skleníkových plynů pocházejících z používání biomasy. Biomasa, která odpovídá této podmínce, je uvedena v Příloze č. 6</t>
  </si>
  <si>
    <t>1)      Byl posouzen výskyt ptáků a netopýrů a byla přijata vhodná opatření k jejich ochraně (práce mimo dobu jejich výskytu, instalace budek, realizace větracích otvorů tak, aby byly i nadále přístupné). Vztahuje se pouze na opatření v rámci Snížení energetické náročnosti budov podnikatelských subjektů včetně opatření podle bodu 7 článku 38a GBER.</t>
  </si>
  <si>
    <t>5)      Žadatel o podporu není provozovatel stacionárního zařízení v České republice, která jsou součástí Evropského systému emisního obchodování.</t>
  </si>
  <si>
    <t xml:space="preserve">7)      Je-li součástí Projektu pořízení zdroje na biomasu, musí příjemce nejpozději k prvnímu podání žádosti o platbu, ve které jsou zahrnuty způsobilé výdaje na zdroj na biomasu, předložit uzavřenou smlouvu o dodávce biomasy. Pokud příjemce používá jako druh biomasy Dřevní štěpku z průmyslových zbytků, Dřevěné brikety nebo pelety ze zbytků z dřevozpracujícího průmyslu (pouze výroba tepla) anebo Slámové pelety (pouze výroba tepla) podle Přílohy č. 6 Výzvy „Druhy pevné biomasy s úsporami emisí skleníkových plynů“, musí nejpozději k prvnímu podání žádosti o platbu, ve které jsou zahrnuty způsobilé výdaje na zdroj na biomasu, doložit provedení opatření k přizpůsobování se změnám klimatu a zavedení adaptačního opatření v podobě recyklace popela ze spalování biomasy zpět na ornou půdu. Uvedené příjemce doloží smlouvou o smlouvě budoucí/smlouvou na odběr popela se zemědělským podnikatelem. </t>
  </si>
  <si>
    <t>8)      Je-li v rámci Projektu používána zemědělská biomasa, tak splňuje kritéria stanovená v čl. 29 odst. 2 až 5 směrnice (EU) 2018/2001. Pokud zařízení vyrábí elektřinu, KVET, tepelnou energii, chlazení s celkovým jmenovitým tepelným příkonem nejméně 2 MW využívající plynná paliva ze zemědělské biomasy, tak dokladem k prokázání plnění těchto kritérií je platný certifikát kritérií udržitelnosti podle systému KZR INiG nebo SURE nebo ISCC. Tento certifikát se dokládá nejpozději ve lhůtě pro předložení Ověřovacího energetického posudku.</t>
  </si>
  <si>
    <t>Checklist - specifické podmínky</t>
  </si>
  <si>
    <r>
      <t>c)         Pokud jsou absolutní anebo relativní emise vyšší než 20 000 tun CO</t>
    </r>
    <r>
      <rPr>
        <vertAlign val="subscript"/>
        <sz val="8"/>
        <rFont val="Aptos Narrow"/>
        <family val="2"/>
        <scheme val="minor"/>
      </rPr>
      <t>2</t>
    </r>
    <r>
      <rPr>
        <sz val="8"/>
        <rFont val="Aptos Narrow"/>
        <family val="2"/>
        <charset val="238"/>
        <scheme val="minor"/>
      </rPr>
      <t xml:space="preserve"> ekv./rok, tak je nutné stanovit uhlíkovou stopu podle sdělení Evropské komise 2021/C373/01 (Technické pokyny k provádění infrastruktury z hlediska klimatického dopadu v období 2021-2027).</t>
    </r>
  </si>
  <si>
    <t>e)        V případě, že výroba elektřiny z FVE je připojena do přenosové nebo distribuční soustavy, nesmí dodat do přenosové nebo distribuční soustavy více než 20 % ročního množství elektřiny vyrobené v jím provozované výrobně elektřiny, sníženého o technologickou vlastní spotřebu elektřiny. Do výpočtu úspory primární energie nebude započítána energie dodaná mimo energetické hospodářství žadatele. U projektu zahrnujícího instalaci fotovoltaických systémů nesmí výše úspory energie z těchto opatření překročit hranici 30 % projektu. Jedná se o velikost podílu u indikátoru "323000 - Snížení konečné spotřeby energie u podpořených subjektů". Poměr kapacity bateriového úložiště energie (kWh) k výkonu FVE (kWp) nesmí být větší, než 2:1.</t>
  </si>
  <si>
    <t>6)      Pokud je žadatel o podporu provozovatel stacionárního zařízení v České republice, která jsou součástí Evropského systému emisního obchodování, tak se bude jednat o způsobilé opatření za předpokladu splnění podmínek uvedených v kapitole výzvy.</t>
  </si>
  <si>
    <t>Jedná se o komplexní opatření</t>
  </si>
  <si>
    <t>Kontrola</t>
  </si>
  <si>
    <t>Nová účinnost</t>
  </si>
  <si>
    <t>Stará účinnost</t>
  </si>
  <si>
    <t>Typ SZT</t>
  </si>
  <si>
    <t>Užitečná spotřeba</t>
  </si>
  <si>
    <t>Spotřeba PEZ</t>
  </si>
  <si>
    <r>
      <t>Emise CO</t>
    </r>
    <r>
      <rPr>
        <b/>
        <vertAlign val="subscript"/>
        <sz val="11"/>
        <color theme="1"/>
        <rFont val="Calibri"/>
        <family val="2"/>
        <charset val="238"/>
      </rPr>
      <t>2</t>
    </r>
  </si>
  <si>
    <t>Emise TZL</t>
  </si>
  <si>
    <t>Emise PM10</t>
  </si>
  <si>
    <t>Emise PM2,5</t>
  </si>
  <si>
    <t>Výchozí [kg]</t>
  </si>
  <si>
    <t>Konečné [kg]</t>
  </si>
  <si>
    <t>Úspora [kg]</t>
  </si>
  <si>
    <t>Náklady za energii</t>
  </si>
  <si>
    <t>Výchozí [Kč]</t>
  </si>
  <si>
    <t>Konečné [Kč]</t>
  </si>
  <si>
    <t>Úspora [Kč]</t>
  </si>
  <si>
    <t>Zateplení + zdroj</t>
  </si>
  <si>
    <t>Potřeba pro budovu</t>
  </si>
  <si>
    <t>Zdroj dodá</t>
  </si>
  <si>
    <t>Pokryto jinými zdroji</t>
  </si>
  <si>
    <t>Spotřeba primární energie
[kWh]</t>
  </si>
  <si>
    <t>Bilance</t>
  </si>
  <si>
    <t>Výsledek bez zdrojů</t>
  </si>
  <si>
    <t>Výsledek se zdroji</t>
  </si>
  <si>
    <t>Přičíst rekuperaci k zateplení</t>
  </si>
  <si>
    <t>Celkové výdaje na instalaci rekuperace</t>
  </si>
  <si>
    <t>Výsledek se zdroji + FVE</t>
  </si>
  <si>
    <t>2. Rekuperace tepla</t>
  </si>
  <si>
    <t>3. Náhrada světelných zdrojů LED zdroji</t>
  </si>
  <si>
    <t>4. Výměna zdroje tepla</t>
  </si>
  <si>
    <t>Protokol</t>
  </si>
  <si>
    <t>Vyplňte alespoň jedno opatření pro zateplení.</t>
  </si>
  <si>
    <t>Maximální výkon FVE</t>
  </si>
  <si>
    <t>Maximální kapacita baterie</t>
  </si>
  <si>
    <t>Maximální investice</t>
  </si>
  <si>
    <t>Doplňte náklady na rekuperaci.</t>
  </si>
  <si>
    <t>Doplňte náklady na zateplení.</t>
  </si>
  <si>
    <t>Doplňte náklady na výměnu zdroje tepla.</t>
  </si>
  <si>
    <t>Doplňte náklady na modernizaci osvětlení.</t>
  </si>
  <si>
    <t>Doplňte náklady na FVE.</t>
  </si>
  <si>
    <t>Náklady musí být kladné.</t>
  </si>
  <si>
    <t>FVE musí být v kombinaci s alespoň jedním z prvních tří opatření.</t>
  </si>
  <si>
    <t>Výměna zdroje musí být v kombinaci s alespoň jedním z prvních tří opatření.</t>
  </si>
  <si>
    <t>Projekt není způsobilý k podpoře.</t>
  </si>
  <si>
    <t>Data pro osvětlení nejsou kompletní. Viz list Osvětlení.</t>
  </si>
  <si>
    <t>Kalkulačku nelze použít pro žádost o podporu podle blokové výjimky. Je potřeba zpracovat energetický posudek.</t>
  </si>
  <si>
    <t>Kalkulačku lze použít pouze pro celkové uznatelné náklady do 5 000 000 Kč.</t>
  </si>
  <si>
    <t>Podíl FVE na snížení konečné spotřeby energie projektu přesahuje 30 %.</t>
  </si>
  <si>
    <t>Výchozí roční konečná spotřeba energie bez vlivu opatření dle 4.1.c) Výzvy</t>
  </si>
  <si>
    <t>Roční úspora v konečné spotřebě energie bez vlivu opatření dle 4.1.c) Výzvy [%]</t>
  </si>
  <si>
    <t>Výchozí roční spotřeba primární energie bez vlivu opatření dle 4.1.c) Výzvy</t>
  </si>
  <si>
    <t>Roční úspora primární energie bez vlivu opatření dle 4.1.c) Výzvy</t>
  </si>
  <si>
    <t>Podíl FVE na úspoře konečné spotřeby energie projektu [%]</t>
  </si>
  <si>
    <t>Maximální podíl FVE na úspoře KS projektu</t>
  </si>
  <si>
    <t>Roční úspora v konečné spotřebě energie bez vlivu opatření dle 4.1.c) Výzvy</t>
  </si>
  <si>
    <t>FVE musí být v kombinaci s alespoň jedním z opatření zateplení, rekuperace, osvětlení.</t>
  </si>
  <si>
    <t>Odkaz</t>
  </si>
  <si>
    <t>List</t>
  </si>
  <si>
    <t>Buňka</t>
  </si>
  <si>
    <t>Export</t>
  </si>
  <si>
    <t>Default</t>
  </si>
  <si>
    <t>Není vybráno žádné opatření.</t>
  </si>
  <si>
    <t>Tool NRB</t>
  </si>
  <si>
    <t>Hlavní list</t>
  </si>
  <si>
    <t>Základní informace o budově / Basic information about the building</t>
  </si>
  <si>
    <t>Vyhodnocení plnění požadavků dle Průkazu energetické náročnosti</t>
  </si>
  <si>
    <t>Vlastnosti budovy před realizací opatření / Building description</t>
  </si>
  <si>
    <t>Opatření k realizaci / Measures for implementation</t>
  </si>
  <si>
    <t>Parametry stávajícího zdroje tepla/Old boiler parameters</t>
  </si>
  <si>
    <t>Parametry nového zdroje tepla / New boiler parameters</t>
  </si>
  <si>
    <t>Jakého typu jsou stávající světelné zdroje? / What type of lighting do you plan to replace?</t>
  </si>
  <si>
    <t>3. Výsledky / Results</t>
  </si>
  <si>
    <t>1.12</t>
  </si>
  <si>
    <t>3.1.3</t>
  </si>
  <si>
    <t>3.1.4</t>
  </si>
  <si>
    <t>3.1.5</t>
  </si>
  <si>
    <t>3.1.6</t>
  </si>
  <si>
    <t>3.1.7</t>
  </si>
  <si>
    <t>3.1.8</t>
  </si>
  <si>
    <t>4.1.1</t>
  </si>
  <si>
    <t>4.2.1</t>
  </si>
  <si>
    <t>4.3.1</t>
  </si>
  <si>
    <t>4.4.1</t>
  </si>
  <si>
    <t>4.5.1</t>
  </si>
  <si>
    <t>4.6.1</t>
  </si>
  <si>
    <t>4.7.1</t>
  </si>
  <si>
    <t>4.7.2</t>
  </si>
  <si>
    <t>4.7.3</t>
  </si>
  <si>
    <t>1.1.5</t>
  </si>
  <si>
    <t>1.2.5</t>
  </si>
  <si>
    <t>1.3.5</t>
  </si>
  <si>
    <t>1.4.5</t>
  </si>
  <si>
    <t>1.5.5</t>
  </si>
  <si>
    <t>2.1.2</t>
  </si>
  <si>
    <t>1.4a</t>
  </si>
  <si>
    <t>1.4b</t>
  </si>
  <si>
    <t xml:space="preserve">Výdaje na technické zhodnocení stavby </t>
  </si>
  <si>
    <t xml:space="preserve">Výdaje na výměnu stávajícího zdroje energie (výměna kotle, apod.) </t>
  </si>
  <si>
    <t>Výdaje na provedení výměny stávajícího osvětlení v budovách</t>
  </si>
  <si>
    <t>Náklady projektu:</t>
  </si>
  <si>
    <t>1. Výměna zdroje tepla / Boiler replacement</t>
  </si>
  <si>
    <t>2. Zateplení, výměna oken / thermal insulation, windows replacement</t>
  </si>
  <si>
    <t>3. Náhrada světelných zdrojů LED zdroji / Replacement of lighting with LED</t>
  </si>
  <si>
    <t>4.
FVE</t>
  </si>
  <si>
    <t>Typ posuzovaného objektu</t>
  </si>
  <si>
    <t xml:space="preserve">Jaká je roční spotřeba domu? </t>
  </si>
  <si>
    <t xml:space="preserve">Jaká je celková vytápěná plocha? </t>
  </si>
  <si>
    <t>Dochází v projektu ke změně zdroje na vytápění?</t>
  </si>
  <si>
    <t>Vypočtená hodnota průměrného součinitele prostupu tepla Uem po realizaci projektu</t>
  </si>
  <si>
    <t>Referenční hodnota průměrného součinitele prostupu tepla Uem,R po realizaci projektu</t>
  </si>
  <si>
    <t>Vypočtená hodnota dodané energie ER po realizaci projektu</t>
  </si>
  <si>
    <t>Vypočtená hodnota referenční dodané energie ER po realizaci projektu</t>
  </si>
  <si>
    <t>Vypočtená hodnota dodané energie ER před realizací projektu</t>
  </si>
  <si>
    <t>Střecha - typ konstrukce</t>
  </si>
  <si>
    <t>Podlaha, strop nad suterénem typ konstrukce</t>
  </si>
  <si>
    <t>Součinitel prostupu tepla nových oken [W/(m2.K)]</t>
  </si>
  <si>
    <t>Typ dveří, vrat</t>
  </si>
  <si>
    <t xml:space="preserve"> Plocha vyměňovaných dveří, vrat [m2]</t>
  </si>
  <si>
    <t>Součinitel prostupu tepla nových dveří, vrat [W/(m2.K)]</t>
  </si>
  <si>
    <t>účinnost systému nuceného větrání v %</t>
  </si>
  <si>
    <t>větraný objem v m3/h</t>
  </si>
  <si>
    <t>vyhonocení plnění požadavků</t>
  </si>
  <si>
    <t>Jaká je spotřeba paliva za jeden rok?</t>
  </si>
  <si>
    <t>Znáte účinnost kotle?</t>
  </si>
  <si>
    <t>Jaký je instalovaný výkon kotle?</t>
  </si>
  <si>
    <t>Jaký je typ nového kotle?</t>
  </si>
  <si>
    <t>Znáte účinnost nového kotle?</t>
  </si>
  <si>
    <t>Zářivky / Fluorescent lamp</t>
  </si>
  <si>
    <t>Rtuťové výbojky / Discharge lamp</t>
  </si>
  <si>
    <t>Kompaktní zářivky (CFL) / Compact fluorescent lamps</t>
  </si>
  <si>
    <t>Uveďte spotřebu elektřiny?</t>
  </si>
  <si>
    <t>Jaký se počet uvažovaných pracovních dní za rok?</t>
  </si>
  <si>
    <t>Výchozí roční konečná spotřeba energie
[kWh]</t>
  </si>
  <si>
    <t>Výsledná roční konečná spotřeba energie
[kWh]</t>
  </si>
  <si>
    <t>Roční úspora v konečné spotřebě energie
[kWh]</t>
  </si>
  <si>
    <t>Roční výroba FVE 
[kWh]</t>
  </si>
  <si>
    <t>Výchozí roční spotřeba neobnovitelné primární energie
[kWh]</t>
  </si>
  <si>
    <t>Výsledná roční spotřeba neobnovitelné primární energie
[kWh]</t>
  </si>
  <si>
    <t>Roční úspora neobnovitelné primární energie
[kWh]</t>
  </si>
  <si>
    <t>Roční úspora neobnovitelné primární energie [%]</t>
  </si>
  <si>
    <t>Roční úspora neobnovitelné primární energie včetně FVE
[kWh]</t>
  </si>
  <si>
    <t>Roční úspora emisí CO2
[kg]</t>
  </si>
  <si>
    <t>Roční úspora emisí CO2
[%]</t>
  </si>
  <si>
    <t>Roční úspora emisí tuhých látek
[kg]</t>
  </si>
  <si>
    <t>Roční úspora emisí frakcí PM10
[kg]</t>
  </si>
  <si>
    <t>Roční úspora emisí  frakcí PM2,5
[kg]</t>
  </si>
  <si>
    <t>Roční úspora nákladů na energii
[Kč]</t>
  </si>
  <si>
    <t>V jakém období byl Zdroj vyroben?</t>
  </si>
  <si>
    <r>
      <t xml:space="preserve">Vyberte </t>
    </r>
    <r>
      <rPr>
        <b/>
        <sz val="11"/>
        <rFont val="Aptos Narrow"/>
        <family val="2"/>
        <scheme val="minor"/>
      </rPr>
      <t>ano</t>
    </r>
    <r>
      <rPr>
        <sz val="11"/>
        <rFont val="Aptos Narrow"/>
        <family val="2"/>
        <scheme val="minor"/>
      </rPr>
      <t xml:space="preserve"> nebo </t>
    </r>
    <r>
      <rPr>
        <b/>
        <sz val="11"/>
        <rFont val="Aptos Narrow"/>
        <family val="2"/>
        <scheme val="minor"/>
      </rPr>
      <t>ne</t>
    </r>
  </si>
  <si>
    <t>List Zateplení musí být vybrán.</t>
  </si>
  <si>
    <t>Byla zvolena výměna zdroje tepla, ale list Zdroj není vyplněn.</t>
  </si>
  <si>
    <t>Bilance spotřeby energie před a po realizaci opatření (bez vlivu zdrojů tepla).</t>
  </si>
  <si>
    <t>Bilance spotřeby energie před a po výměně kotle (včetně zateplení)</t>
  </si>
  <si>
    <t xml:space="preserve">Žadatel, který provedl Energetické posouzení projektu, si zajistil patřičnou kontrolu kvality a platnosti výsledků samo-hodnotícího nástroje. Potvrzuje, že Energetické posouzení bylo provedeno správně a v souladu s podmínkami uvedenými v Příloze č .2 Výzvy v rámci Finančního nástroje Úspory energie - úvěry. Byly použity správné údaje a byla zvolena správná opatření. </t>
  </si>
  <si>
    <t>b)        Navržená energeticky úsporná opatření musí splnit minimálně 10 % roční úsporu primární energie (režim de minimis) po realizaci projektu oproti stavu před realizací projektu. Pro výpočet primární energie je nutné použít faktory primární energie podle Přílohy č. 9 této Výzvy. Pro splnění uvedených limitů roční úspory primární energie nelze započítat úsporu primární energie z opatření dle bodu 7 čl. 38a GBER (realizace opatření dle 4.1.c) Výzvy, mimo případy v režimu de minimis, kdy obálka budovy splňuje již před registrací žádosti o podporu referenční hodnotu průměrného součinitele tepla Uem, R (referenční hodnota je stanovena v úrovni pro dokončenou budovu nebo její změnu podle průkazu energetické náročnosti budovy) v souladu s vyhláškou č.264/2020 Sb. o energetické náročnosti budov v platném znění.</t>
  </si>
  <si>
    <t>Evidenční číslo:</t>
  </si>
  <si>
    <t>Zdroj musí být v kombinaci se zateplením.</t>
  </si>
  <si>
    <t>Projekt nedosahuje požadované úspory primární energie bez vlivu opatření dle 4.1.c) Výzvy ve výši 10 %.</t>
  </si>
  <si>
    <t>Spotřeba z listu zdroj</t>
  </si>
  <si>
    <t>Je PENB a kontrukce bez opatření vyhovuje</t>
  </si>
  <si>
    <r>
      <t>Obálka budovy splňuje již před registrací žádosti o podporu referenční hodnotu průměrného součinitele tepla U</t>
    </r>
    <r>
      <rPr>
        <vertAlign val="subscript"/>
        <sz val="11"/>
        <rFont val="Aptos Narrow"/>
        <family val="2"/>
        <scheme val="minor"/>
      </rPr>
      <t>em, R</t>
    </r>
  </si>
  <si>
    <t>Referenční hodnota nemůže být nižší než vypočtená hodnota v bodu 2.1.</t>
  </si>
  <si>
    <t>Referenční hodnota nemůže být nižší než vypočtená hodnota v bodu 2.3.</t>
  </si>
  <si>
    <t>Hodnota před realizací projektu nemůže být nižší než vypočtená hodnota v bodu 2.3.</t>
  </si>
  <si>
    <t>Nesrovnalosti v zadání spotřeby budovy podle PENB.</t>
  </si>
  <si>
    <r>
      <t>Součinitel prostupu tepla výpočet z kalkulačky  [W/(m</t>
    </r>
    <r>
      <rPr>
        <vertAlign val="superscript"/>
        <sz val="11"/>
        <rFont val="Aptos Narrow"/>
        <family val="2"/>
        <scheme val="minor"/>
      </rPr>
      <t>2</t>
    </r>
    <r>
      <rPr>
        <sz val="11"/>
        <rFont val="Aptos Narrow"/>
        <family val="2"/>
        <charset val="238"/>
        <scheme val="minor"/>
      </rPr>
      <t>.K)]</t>
    </r>
  </si>
  <si>
    <r>
      <t>Požadavek programu na U [W/(m</t>
    </r>
    <r>
      <rPr>
        <vertAlign val="superscript"/>
        <sz val="11"/>
        <rFont val="Aptos Narrow"/>
        <family val="2"/>
        <scheme val="minor"/>
      </rPr>
      <t>2</t>
    </r>
    <r>
      <rPr>
        <sz val="11"/>
        <rFont val="Aptos Narrow"/>
        <family val="2"/>
        <charset val="238"/>
        <scheme val="minor"/>
      </rPr>
      <t>.K)]</t>
    </r>
  </si>
  <si>
    <t>Výchozí roční konečná spotřeba energie celého projektu</t>
  </si>
  <si>
    <t>Roční úspora v konečné spotřebě energie celého projektu [%]</t>
  </si>
  <si>
    <t>Roční úspora primární energie celého projektu</t>
  </si>
  <si>
    <t>Výchozí roční spotřeba primární energie celého projektu</t>
  </si>
  <si>
    <t>Roční úspora primární energie celého projektu [%]</t>
  </si>
  <si>
    <t>Roční úspora primární energie bez vlivu opatření dle 4.1.c) Výzvy [%]</t>
  </si>
  <si>
    <t>Roční úspora konečné spotřeby energie bez vlivu opatření dle 4.1.c) Výzvy</t>
  </si>
  <si>
    <t>Roční úspora konečné spotřeby energi celého projektu</t>
  </si>
  <si>
    <t>Roční úspora konečné spotřeby energi celého projektu [%]</t>
  </si>
  <si>
    <t>Podíl FVE na úspoře konečné spotřeby energie celého projektu [%]</t>
  </si>
  <si>
    <t>Navrhovaná roční konečná spotřeba energie celého projektu</t>
  </si>
  <si>
    <t>Navrhovaná roční konečná spotřeba energie bez vlivu opatření dle 4.1.c) Výzvy</t>
  </si>
  <si>
    <t>Navrhovaná roční spotřeba primární energie bez vlivu opatření dle 4.1.c) Výzvy</t>
  </si>
  <si>
    <t>Navrhovaná roční spotřeba primární energie celého projektu</t>
  </si>
  <si>
    <t>Výdaje na instalaci rekuperace tepla</t>
  </si>
  <si>
    <t>Maximální úspora zateplením</t>
  </si>
  <si>
    <t>Přičíst úsporu z osvětlení</t>
  </si>
  <si>
    <t>Podíl elektřiny</t>
  </si>
  <si>
    <t>Výchozí celková spotřeba budovy</t>
  </si>
  <si>
    <t>Výchozí spotřeba elektřiny</t>
  </si>
  <si>
    <t>Výchozí elektřina</t>
  </si>
  <si>
    <t>Konečná elektřina</t>
  </si>
  <si>
    <t>Výchozí spotřeba pro zateplení a rekuperaci</t>
  </si>
  <si>
    <t>Maximální celková úspora</t>
  </si>
  <si>
    <t>Rezerva spotřeby na TV a ostatní neelektrickou spotřebu</t>
  </si>
  <si>
    <t>1. Zateplení, výměna výplní</t>
  </si>
  <si>
    <t>Podíl rekuperace</t>
  </si>
  <si>
    <t>a</t>
  </si>
  <si>
    <t>b</t>
  </si>
  <si>
    <t xml:space="preserve">c </t>
  </si>
  <si>
    <t>e</t>
  </si>
  <si>
    <t>f</t>
  </si>
  <si>
    <t>x</t>
  </si>
  <si>
    <t>Nesprávná kombinace období výstavby v bodu 1.7 a zvolené konstrukce.</t>
  </si>
  <si>
    <t>Celková plocha</t>
  </si>
  <si>
    <r>
      <t>m</t>
    </r>
    <r>
      <rPr>
        <vertAlign val="superscript"/>
        <sz val="11"/>
        <rFont val="Aptos Narrow"/>
        <family val="2"/>
        <scheme val="minor"/>
      </rPr>
      <t>2</t>
    </r>
  </si>
  <si>
    <t>Zadejte celkovou plochu obvodového pláště.</t>
  </si>
  <si>
    <t>Nesprávná kombinace typu střechy v bodu 3.1.2 a zvolené konstrukce.</t>
  </si>
  <si>
    <t>3.2.3</t>
  </si>
  <si>
    <t>Zadejte celkovou plochu střechy nebo stropu pod půdou.</t>
  </si>
  <si>
    <t>Nesprávná kombinace typu podlahy v bodu 3.1.4 a zvolené konstrukce.</t>
  </si>
  <si>
    <t>3.3.3</t>
  </si>
  <si>
    <t>Zadejte celkovou plochu podlahy.</t>
  </si>
  <si>
    <t>3.4.2</t>
  </si>
  <si>
    <t>Zadejte celkovou plochu oken.</t>
  </si>
  <si>
    <t>3.5.2</t>
  </si>
  <si>
    <t>Zadejte celkovou plochu dveří nebo vrat.</t>
  </si>
  <si>
    <t>3.6.2</t>
  </si>
  <si>
    <t>Zadejte celkovou plochu střešních oken nebo světlíků.</t>
  </si>
  <si>
    <t>Plocha celkem [m2]</t>
  </si>
  <si>
    <t>Celková spotřeba před [kWh]</t>
  </si>
  <si>
    <t>Verze - 14.01</t>
  </si>
  <si>
    <t>Zateplovaná plocha nemůže být větší než celková plocha v bodu 3.1.2.</t>
  </si>
  <si>
    <t>Zateplovaná plocha nemůže být větší než celková plocha v bodu 3.2.3.</t>
  </si>
  <si>
    <t>Zateplovaná plocha nemůže být větší než celková plocha v bodu 3.3.3.</t>
  </si>
  <si>
    <t>Plocha měněných oken nemůže být větší než celová plocha oken v bodu 3.4.2.</t>
  </si>
  <si>
    <t>Plocha měněných dveří nemůže být větší než celová plocha dveří v bodu 3.5.2.</t>
  </si>
  <si>
    <t>Plocha měněných střešních oken nemůže být větší než celová plocha střešních oken v bodu 3.6.2.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</si>
</sst>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7" formatCode="#,##0.00\ &quot;Kč&quot;;\-#,##0.00\ &quot;Kč&quot;"/>
    <numFmt numFmtId="44" formatCode="_-* #,##0.00\ &quot;Kč&quot;_-;\-* #,##0.00\ &quot;Kč&quot;_-;_-* &quot;-&quot;??\ &quot;Kč&quot;_-;_-@_-"/>
    <numFmt numFmtId="164" formatCode="0.0%"/>
    <numFmt numFmtId="165" formatCode="0.0"/>
    <numFmt numFmtId="166" formatCode="0.000"/>
    <numFmt numFmtId="167" formatCode="#,##0.000"/>
    <numFmt numFmtId="168" formatCode="#,##0\ &quot;Kč&quot;"/>
    <numFmt numFmtId="169" formatCode=";;;**"/>
    <numFmt numFmtId="170" formatCode="#,##0.0"/>
    <numFmt numFmtId="171" formatCode="#,##0.00000"/>
    <numFmt numFmtId="172" formatCode="0.0000"/>
    <numFmt numFmtId="173" formatCode="#,##0.000000"/>
  </numFmts>
  <fonts count="88">
    <font>
      <sz val="11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20"/>
      <color theme="1"/>
      <name val="Aptos Narrow"/>
      <family val="2"/>
      <scheme val="minor"/>
    </font>
    <font>
      <b/>
      <sz val="12"/>
      <color theme="0"/>
      <name val="Aptos Narrow"/>
      <family val="2"/>
      <charset val="238"/>
      <scheme val="minor"/>
    </font>
    <font>
      <sz val="12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sz val="11"/>
      <name val="Aptos Narrow"/>
      <family val="2"/>
      <charset val="238"/>
      <scheme val="minor"/>
    </font>
    <font>
      <i/>
      <sz val="11"/>
      <color rgb="FF0070C0"/>
      <name val="Aptos Narrow"/>
      <family val="2"/>
      <charset val="238"/>
      <scheme val="minor"/>
    </font>
    <font>
      <i/>
      <sz val="11"/>
      <color rgb="FF0070C0"/>
      <name val="Aptos Narrow"/>
      <family val="2"/>
      <scheme val="minor"/>
    </font>
    <font>
      <sz val="11"/>
      <color theme="0"/>
      <name val="Aptos Narrow"/>
      <family val="2"/>
      <charset val="238"/>
      <scheme val="minor"/>
    </font>
    <font>
      <b/>
      <sz val="11"/>
      <color theme="1"/>
      <name val="Calibri"/>
      <family val="2"/>
      <charset val="238"/>
    </font>
    <font>
      <b/>
      <sz val="20"/>
      <name val="Aptos Narrow"/>
      <family val="2"/>
      <charset val="238"/>
      <scheme val="minor"/>
    </font>
    <font>
      <u/>
      <sz val="11"/>
      <color theme="10"/>
      <name val="Calibri"/>
      <family val="2"/>
      <charset val="238"/>
    </font>
    <font>
      <b/>
      <sz val="20"/>
      <color theme="1"/>
      <name val="Aptos Narrow"/>
      <family val="2"/>
      <charset val="238"/>
      <scheme val="minor"/>
    </font>
    <font>
      <b/>
      <sz val="11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b/>
      <sz val="12"/>
      <name val="Aptos Narrow"/>
      <family val="2"/>
      <charset val="238"/>
      <scheme val="minor"/>
    </font>
    <font>
      <sz val="12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vertAlign val="subscript"/>
      <sz val="11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name val="Calibri"/>
      <family val="2"/>
      <charset val="238"/>
    </font>
    <font>
      <b/>
      <sz val="11"/>
      <name val="Aptos Narrow"/>
      <family val="2"/>
      <scheme val="minor"/>
    </font>
    <font>
      <sz val="12"/>
      <name val="Aptos Narrow"/>
      <family val="2"/>
      <scheme val="minor"/>
    </font>
    <font>
      <sz val="11"/>
      <color rgb="FFFF0000"/>
      <name val="Aptos Narrow"/>
      <family val="2"/>
      <charset val="238"/>
      <scheme val="minor"/>
    </font>
    <font>
      <vertAlign val="superscript"/>
      <sz val="11"/>
      <name val="Aptos Narrow"/>
      <family val="2"/>
      <charset val="238"/>
      <scheme val="minor"/>
    </font>
    <font>
      <b/>
      <vertAlign val="subscript"/>
      <sz val="11"/>
      <name val="Aptos Narrow"/>
      <family val="2"/>
      <charset val="238"/>
      <scheme val="minor"/>
    </font>
    <font>
      <b/>
      <i/>
      <sz val="11"/>
      <name val="Aptos Narrow"/>
      <family val="2"/>
      <charset val="238"/>
      <scheme val="minor"/>
    </font>
    <font>
      <sz val="10"/>
      <name val="Aptos Narrow"/>
      <family val="2"/>
      <charset val="238"/>
      <scheme val="minor"/>
    </font>
    <font>
      <sz val="10"/>
      <name val="Arial "/>
      <charset val="238"/>
    </font>
    <font>
      <i/>
      <sz val="10"/>
      <name val="Arial "/>
      <charset val="238"/>
    </font>
    <font>
      <sz val="9"/>
      <color indexed="81"/>
      <name val="Tahoma"/>
      <family val="2"/>
      <charset val="238"/>
    </font>
    <font>
      <i/>
      <sz val="11"/>
      <color theme="1"/>
      <name val="Aptos Narrow"/>
      <family val="2"/>
      <charset val="238"/>
      <scheme val="minor"/>
    </font>
    <font>
      <i/>
      <sz val="10"/>
      <color rgb="FFFF0000"/>
      <name val="Aptos Narrow"/>
      <family val="2"/>
      <charset val="238"/>
      <scheme val="minor"/>
    </font>
    <font>
      <sz val="10"/>
      <color rgb="FFFF0000"/>
      <name val="Aptos Narrow"/>
      <family val="2"/>
      <charset val="238"/>
      <scheme val="minor"/>
    </font>
    <font>
      <sz val="10"/>
      <color theme="1"/>
      <name val="Aptos Narrow"/>
      <family val="2"/>
      <charset val="238"/>
      <scheme val="minor"/>
    </font>
    <font>
      <sz val="10"/>
      <color indexed="8"/>
      <name val="Aptos Narrow"/>
      <family val="2"/>
      <charset val="238"/>
      <scheme val="minor"/>
    </font>
    <font>
      <sz val="9"/>
      <color theme="1"/>
      <name val="Arial"/>
      <family val="2"/>
      <charset val="238"/>
    </font>
    <font>
      <i/>
      <sz val="10"/>
      <color indexed="8"/>
      <name val="Aptos Narrow"/>
      <family val="2"/>
      <charset val="238"/>
      <scheme val="minor"/>
    </font>
    <font>
      <sz val="9"/>
      <color indexed="8"/>
      <name val="Arial"/>
      <family val="2"/>
      <charset val="238"/>
    </font>
    <font>
      <i/>
      <sz val="9"/>
      <color indexed="8"/>
      <name val="Arial"/>
      <family val="2"/>
      <charset val="238"/>
    </font>
    <font>
      <sz val="9"/>
      <color rgb="FFFF0000"/>
      <name val="Arial"/>
      <family val="2"/>
      <charset val="238"/>
    </font>
    <font>
      <sz val="11"/>
      <name val="Aptos Narrow"/>
      <family val="2"/>
      <scheme val="minor"/>
    </font>
    <font>
      <vertAlign val="superscript"/>
      <sz val="11"/>
      <color theme="1"/>
      <name val="Calibri"/>
      <family val="2"/>
      <charset val="238"/>
    </font>
    <font>
      <b/>
      <sz val="10"/>
      <color theme="1"/>
      <name val="Aptos Narrow"/>
      <family val="2"/>
      <charset val="238"/>
      <scheme val="minor"/>
    </font>
    <font>
      <i/>
      <sz val="10"/>
      <color theme="1"/>
      <name val="Aptos Narrow"/>
      <family val="2"/>
      <charset val="238"/>
      <scheme val="minor"/>
    </font>
    <font>
      <i/>
      <sz val="9"/>
      <color theme="1"/>
      <name val="Arial"/>
      <family val="2"/>
      <charset val="238"/>
    </font>
    <font>
      <b/>
      <sz val="16"/>
      <color rgb="FF000000"/>
      <name val="Calibri"/>
      <family val="2"/>
      <charset val="238"/>
    </font>
    <font>
      <b/>
      <sz val="14"/>
      <color rgb="FF000000"/>
      <name val="Calibri"/>
      <family val="2"/>
      <charset val="238"/>
    </font>
    <font>
      <sz val="8"/>
      <color rgb="FF000000"/>
      <name val="Tahoma"/>
      <family val="2"/>
      <charset val="238"/>
    </font>
    <font>
      <b/>
      <sz val="16"/>
      <name val="Aptos Narrow"/>
      <family val="2"/>
      <charset val="238"/>
      <scheme val="minor"/>
    </font>
    <font>
      <sz val="9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i/>
      <sz val="12"/>
      <color rgb="FF0070C0"/>
      <name val="Aptos Narrow"/>
      <family val="2"/>
      <scheme val="minor"/>
    </font>
    <font>
      <b/>
      <sz val="11"/>
      <color rgb="FF3F3F3F"/>
      <name val="Calibri"/>
      <family val="2"/>
      <charset val="238"/>
    </font>
    <font>
      <b/>
      <sz val="20"/>
      <color rgb="FFFF0000"/>
      <name val="Aptos Narrow"/>
      <family val="2"/>
      <charset val="238"/>
      <scheme val="minor"/>
    </font>
    <font>
      <b/>
      <sz val="18"/>
      <color rgb="FFFF0000"/>
      <name val="Aptos Narrow"/>
      <family val="2"/>
      <charset val="238"/>
      <scheme val="minor"/>
    </font>
    <font>
      <sz val="8"/>
      <name val="Aptos Narrow"/>
      <family val="2"/>
      <charset val="238"/>
      <scheme val="minor"/>
    </font>
    <font>
      <b/>
      <sz val="10"/>
      <color theme="0"/>
      <name val="Aptos Narrow"/>
      <family val="2"/>
      <charset val="238"/>
      <scheme val="minor"/>
    </font>
    <font>
      <b/>
      <sz val="9"/>
      <name val="Aptos Narrow"/>
      <family val="2"/>
      <charset val="238"/>
      <scheme val="minor"/>
    </font>
    <font>
      <b/>
      <sz val="9"/>
      <color theme="1"/>
      <name val="Times New Roman"/>
      <family val="1"/>
      <charset val="238"/>
    </font>
    <font>
      <b/>
      <sz val="16"/>
      <color theme="1"/>
      <name val="Aptos Narrow"/>
      <family val="2"/>
      <charset val="238"/>
      <scheme val="minor"/>
    </font>
    <font>
      <sz val="8"/>
      <color theme="1"/>
      <name val="Aptos Narrow"/>
      <family val="2"/>
      <scheme val="minor"/>
    </font>
    <font>
      <b/>
      <sz val="20"/>
      <name val="Aptos Narrow"/>
      <family val="2"/>
      <scheme val="minor"/>
    </font>
    <font>
      <b/>
      <sz val="16"/>
      <name val="Aptos Narrow"/>
      <family val="2"/>
      <scheme val="minor"/>
    </font>
    <font>
      <sz val="9"/>
      <name val="Aptos Narrow"/>
      <family val="2"/>
      <scheme val="minor"/>
    </font>
    <font>
      <sz val="11"/>
      <color theme="0"/>
      <name val="Aptos Narrow"/>
      <family val="2"/>
      <scheme val="minor"/>
    </font>
    <font>
      <u/>
      <sz val="12"/>
      <name val="Aptos Narrow"/>
      <family val="2"/>
      <scheme val="minor"/>
    </font>
    <font>
      <b/>
      <sz val="12"/>
      <name val="Aptos Narrow"/>
      <family val="2"/>
      <scheme val="minor"/>
    </font>
    <font>
      <sz val="11"/>
      <color rgb="FFC00000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vertAlign val="subscript"/>
      <sz val="12"/>
      <color theme="0"/>
      <name val="Aptos Narrow"/>
      <family val="2"/>
      <scheme val="minor"/>
    </font>
    <font>
      <b/>
      <sz val="18"/>
      <name val="Aptos Narrow"/>
      <family val="2"/>
      <scheme val="minor"/>
    </font>
    <font>
      <sz val="12"/>
      <color theme="0"/>
      <name val="Aptos Narrow"/>
      <family val="2"/>
      <scheme val="minor"/>
    </font>
    <font>
      <b/>
      <vertAlign val="subscript"/>
      <sz val="11"/>
      <name val="Aptos Narrow"/>
      <family val="2"/>
      <scheme val="minor"/>
    </font>
    <font>
      <b/>
      <vertAlign val="subscript"/>
      <sz val="11"/>
      <color theme="0"/>
      <name val="Aptos Narrow"/>
      <family val="2"/>
      <scheme val="minor"/>
    </font>
    <font>
      <vertAlign val="superscript"/>
      <sz val="11"/>
      <name val="Aptos Narrow"/>
      <family val="2"/>
      <scheme val="minor"/>
    </font>
    <font>
      <vertAlign val="subscript"/>
      <sz val="8"/>
      <name val="Aptos Narrow"/>
      <family val="2"/>
      <scheme val="minor"/>
    </font>
    <font>
      <b/>
      <vertAlign val="subscript"/>
      <sz val="11"/>
      <color theme="1"/>
      <name val="Calibri"/>
      <family val="2"/>
      <charset val="238"/>
    </font>
    <font>
      <b/>
      <sz val="18"/>
      <color theme="0"/>
      <name val="Aptos Narrow"/>
      <family val="2"/>
      <scheme val="minor"/>
    </font>
    <font>
      <b/>
      <sz val="14"/>
      <name val="Aptos Narrow"/>
      <family val="2"/>
      <scheme val="minor"/>
    </font>
    <font>
      <b/>
      <sz val="18"/>
      <name val="Aptos Narrow"/>
      <family val="2"/>
      <charset val="238"/>
      <scheme val="minor"/>
    </font>
    <font>
      <vertAlign val="subscript"/>
      <sz val="11"/>
      <name val="Aptos Narrow"/>
      <family val="2"/>
      <scheme val="minor"/>
    </font>
  </fonts>
  <fills count="2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4747"/>
        <bgColor indexed="64"/>
      </patternFill>
    </fill>
    <fill>
      <patternFill patternType="solid">
        <fgColor rgb="FFF2F2F2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4659260841701"/>
        <bgColor indexed="64"/>
      </patternFill>
    </fill>
  </fills>
  <borders count="71">
    <border>
      <left/>
      <right/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/>
      <diagonal/>
    </border>
    <border>
      <left/>
      <right/>
      <top/>
      <bottom style="medium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  <border>
      <left/>
      <right style="medium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medium">
        <color theme="0"/>
      </top>
      <bottom/>
      <diagonal/>
    </border>
    <border>
      <left style="thin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thin">
        <color theme="0"/>
      </right>
      <top style="medium">
        <color theme="0"/>
      </top>
      <bottom style="medium">
        <color theme="0"/>
      </bottom>
      <diagonal/>
    </border>
    <border>
      <left/>
      <right style="thin">
        <color theme="0"/>
      </right>
      <top style="medium">
        <color theme="0"/>
      </top>
      <bottom style="medium">
        <color theme="0"/>
      </bottom>
      <diagonal/>
    </border>
    <border>
      <left/>
      <right style="thin">
        <color theme="0"/>
      </right>
      <top style="medium">
        <color theme="0"/>
      </top>
      <bottom/>
      <diagonal/>
    </border>
    <border>
      <left style="medium">
        <color theme="0"/>
      </left>
      <right style="thin">
        <color theme="0"/>
      </right>
      <top/>
      <bottom style="medium">
        <color theme="0"/>
      </bottom>
      <diagonal/>
    </border>
    <border>
      <left style="thin">
        <color theme="0"/>
      </left>
      <right/>
      <top style="medium">
        <color theme="0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 style="thin">
        <color theme="0"/>
      </left>
      <right/>
      <top style="medium">
        <color theme="0"/>
      </top>
      <bottom style="thin">
        <color theme="0"/>
      </bottom>
      <diagonal/>
    </border>
    <border>
      <left/>
      <right style="thin">
        <color theme="0"/>
      </right>
      <top style="medium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13" fillId="0" borderId="0" applyNumberFormat="0" applyFont="0" applyFill="0" applyBorder="0" applyAlignment="0" applyProtection="0">
      <alignment vertical="top"/>
      <protection locked="0"/>
    </xf>
    <xf numFmtId="44" fontId="1" fillId="0" borderId="0" applyFont="0" applyFill="0" applyBorder="0" applyAlignment="0" applyProtection="0"/>
    <xf numFmtId="0" fontId="59" fillId="18" borderId="65" applyNumberFormat="0" applyAlignment="0" applyProtection="0"/>
    <xf numFmtId="0" fontId="53" fillId="0" borderId="0"/>
  </cellStyleXfs>
  <cellXfs count="722">
    <xf numFmtId="0" fontId="0" fillId="0" borderId="0" xfId="0"/>
    <xf numFmtId="0" fontId="0" fillId="2" borderId="0" xfId="0" applyFill="1" applyProtection="1">
      <protection hidden="1"/>
    </xf>
    <xf numFmtId="0" fontId="3" fillId="2" borderId="0" xfId="0" applyFont="1" applyFill="1" applyAlignment="1" applyProtection="1">
      <alignment horizontal="left"/>
      <protection hidden="1"/>
    </xf>
    <xf numFmtId="0" fontId="0" fillId="2" borderId="0" xfId="0" applyFill="1" applyAlignment="1" applyProtection="1">
      <alignment horizontal="left"/>
      <protection hidden="1"/>
    </xf>
    <xf numFmtId="49" fontId="6" fillId="4" borderId="2" xfId="0" quotePrefix="1" applyNumberFormat="1" applyFont="1" applyFill="1" applyBorder="1" applyAlignment="1" applyProtection="1">
      <alignment horizontal="left" vertical="center"/>
      <protection hidden="1"/>
    </xf>
    <xf numFmtId="0" fontId="0" fillId="4" borderId="2" xfId="0" applyFill="1" applyBorder="1" applyAlignment="1" applyProtection="1">
      <alignment vertical="center"/>
      <protection hidden="1"/>
    </xf>
    <xf numFmtId="0" fontId="0" fillId="5" borderId="2" xfId="0" applyFill="1" applyBorder="1" applyAlignment="1" applyProtection="1">
      <alignment vertical="center"/>
      <protection locked="0"/>
    </xf>
    <xf numFmtId="3" fontId="0" fillId="5" borderId="2" xfId="0" applyNumberFormat="1" applyFill="1" applyBorder="1" applyAlignment="1" applyProtection="1">
      <alignment vertical="center"/>
      <protection locked="0"/>
    </xf>
    <xf numFmtId="9" fontId="0" fillId="5" borderId="2" xfId="1" applyFont="1" applyFill="1" applyBorder="1" applyAlignment="1" applyProtection="1">
      <alignment horizontal="center" vertical="center" wrapText="1"/>
      <protection locked="0"/>
    </xf>
    <xf numFmtId="0" fontId="0" fillId="4" borderId="2" xfId="0" applyFill="1" applyBorder="1" applyAlignment="1" applyProtection="1">
      <alignment vertical="center" wrapText="1"/>
      <protection hidden="1"/>
    </xf>
    <xf numFmtId="0" fontId="8" fillId="6" borderId="0" xfId="0" applyFont="1" applyFill="1" applyAlignment="1">
      <alignment horizontal="left" vertical="top"/>
    </xf>
    <xf numFmtId="0" fontId="0" fillId="6" borderId="3" xfId="0" applyFill="1" applyBorder="1" applyAlignment="1" applyProtection="1">
      <alignment vertical="center" wrapText="1"/>
      <protection hidden="1"/>
    </xf>
    <xf numFmtId="0" fontId="0" fillId="6" borderId="0" xfId="0" applyFill="1" applyAlignment="1" applyProtection="1">
      <alignment vertical="center" wrapText="1"/>
      <protection hidden="1"/>
    </xf>
    <xf numFmtId="0" fontId="7" fillId="4" borderId="2" xfId="0" applyFont="1" applyFill="1" applyBorder="1" applyAlignment="1" applyProtection="1">
      <alignment vertical="center"/>
      <protection hidden="1"/>
    </xf>
    <xf numFmtId="0" fontId="0" fillId="0" borderId="4" xfId="0" applyBorder="1"/>
    <xf numFmtId="49" fontId="12" fillId="6" borderId="4" xfId="0" applyNumberFormat="1" applyFont="1" applyFill="1" applyBorder="1"/>
    <xf numFmtId="0" fontId="13" fillId="0" borderId="0" xfId="2" applyAlignment="1" applyProtection="1"/>
    <xf numFmtId="0" fontId="7" fillId="0" borderId="4" xfId="0" applyFont="1" applyBorder="1"/>
    <xf numFmtId="0" fontId="0" fillId="0" borderId="6" xfId="0" applyBorder="1"/>
    <xf numFmtId="0" fontId="14" fillId="0" borderId="6" xfId="0" applyFont="1" applyBorder="1"/>
    <xf numFmtId="0" fontId="0" fillId="6" borderId="0" xfId="0" applyFill="1"/>
    <xf numFmtId="1" fontId="4" fillId="3" borderId="1" xfId="0" applyNumberFormat="1" applyFont="1" applyFill="1" applyBorder="1" applyAlignment="1" applyProtection="1">
      <alignment vertical="center"/>
      <protection hidden="1"/>
    </xf>
    <xf numFmtId="0" fontId="0" fillId="6" borderId="0" xfId="0" applyFill="1" applyAlignment="1">
      <alignment vertical="center"/>
    </xf>
    <xf numFmtId="0" fontId="7" fillId="6" borderId="0" xfId="0" applyFont="1" applyFill="1"/>
    <xf numFmtId="0" fontId="7" fillId="6" borderId="0" xfId="0" applyFont="1" applyFill="1" applyProtection="1">
      <protection hidden="1"/>
    </xf>
    <xf numFmtId="49" fontId="15" fillId="7" borderId="9" xfId="0" applyNumberFormat="1" applyFont="1" applyFill="1" applyBorder="1" applyAlignment="1">
      <alignment vertical="center" wrapText="1"/>
    </xf>
    <xf numFmtId="0" fontId="7" fillId="7" borderId="8" xfId="0" applyFont="1" applyFill="1" applyBorder="1" applyAlignment="1">
      <alignment vertical="center" wrapText="1"/>
    </xf>
    <xf numFmtId="0" fontId="7" fillId="7" borderId="2" xfId="0" applyFont="1" applyFill="1" applyBorder="1" applyAlignment="1">
      <alignment horizontal="left" vertical="center" wrapText="1"/>
    </xf>
    <xf numFmtId="0" fontId="0" fillId="0" borderId="0" xfId="0" applyAlignment="1">
      <alignment vertical="center"/>
    </xf>
    <xf numFmtId="49" fontId="7" fillId="7" borderId="9" xfId="0" applyNumberFormat="1" applyFont="1" applyFill="1" applyBorder="1" applyAlignment="1">
      <alignment vertical="center" wrapText="1"/>
    </xf>
    <xf numFmtId="0" fontId="7" fillId="7" borderId="8" xfId="0" applyFont="1" applyFill="1" applyBorder="1" applyAlignment="1">
      <alignment horizontal="left" vertical="center" wrapText="1" indent="1"/>
    </xf>
    <xf numFmtId="3" fontId="0" fillId="8" borderId="2" xfId="0" applyNumberFormat="1" applyFill="1" applyBorder="1" applyAlignment="1" applyProtection="1">
      <alignment horizontal="center" vertical="center" wrapText="1"/>
      <protection locked="0" hidden="1"/>
    </xf>
    <xf numFmtId="0" fontId="7" fillId="0" borderId="0" xfId="0" applyFont="1"/>
    <xf numFmtId="0" fontId="0" fillId="8" borderId="2" xfId="0" applyFill="1" applyBorder="1" applyAlignment="1" applyProtection="1">
      <alignment horizontal="center" vertical="center" wrapText="1"/>
      <protection locked="0" hidden="1"/>
    </xf>
    <xf numFmtId="0" fontId="7" fillId="7" borderId="8" xfId="0" applyFont="1" applyFill="1" applyBorder="1" applyAlignment="1">
      <alignment horizontal="left" vertical="center" wrapText="1" indent="2"/>
    </xf>
    <xf numFmtId="0" fontId="7" fillId="6" borderId="0" xfId="0" applyFont="1" applyFill="1" applyAlignment="1">
      <alignment vertical="center"/>
    </xf>
    <xf numFmtId="49" fontId="7" fillId="6" borderId="9" xfId="0" applyNumberFormat="1" applyFont="1" applyFill="1" applyBorder="1" applyAlignment="1">
      <alignment vertical="center" wrapText="1"/>
    </xf>
    <xf numFmtId="0" fontId="7" fillId="6" borderId="8" xfId="0" applyFont="1" applyFill="1" applyBorder="1" applyAlignment="1">
      <alignment horizontal="left" vertical="center" wrapText="1" indent="1"/>
    </xf>
    <xf numFmtId="0" fontId="0" fillId="6" borderId="2" xfId="0" applyFill="1" applyBorder="1" applyAlignment="1" applyProtection="1">
      <alignment horizontal="center" vertical="center" wrapText="1"/>
      <protection hidden="1"/>
    </xf>
    <xf numFmtId="0" fontId="7" fillId="6" borderId="2" xfId="0" applyFont="1" applyFill="1" applyBorder="1" applyAlignment="1" applyProtection="1">
      <alignment horizontal="left" vertical="center" wrapText="1"/>
      <protection locked="0"/>
    </xf>
    <xf numFmtId="49" fontId="16" fillId="0" borderId="9" xfId="0" applyNumberFormat="1" applyFont="1" applyBorder="1" applyAlignment="1">
      <alignment vertical="center" wrapText="1"/>
    </xf>
    <xf numFmtId="0" fontId="7" fillId="0" borderId="8" xfId="0" applyFont="1" applyBorder="1" applyAlignment="1">
      <alignment horizontal="left" vertical="center" wrapText="1" indent="1"/>
    </xf>
    <xf numFmtId="0" fontId="0" fillId="0" borderId="2" xfId="0" applyBorder="1" applyAlignment="1" applyProtection="1">
      <alignment horizontal="center" vertical="center" wrapText="1"/>
      <protection hidden="1"/>
    </xf>
    <xf numFmtId="0" fontId="0" fillId="0" borderId="2" xfId="0" applyBorder="1" applyAlignment="1" applyProtection="1">
      <alignment horizontal="left" vertical="center" wrapText="1"/>
      <protection locked="0"/>
    </xf>
    <xf numFmtId="0" fontId="0" fillId="6" borderId="0" xfId="0" applyFill="1" applyProtection="1">
      <protection hidden="1"/>
    </xf>
    <xf numFmtId="0" fontId="0" fillId="6" borderId="0" xfId="0" applyFill="1" applyAlignment="1" applyProtection="1">
      <alignment horizontal="left"/>
      <protection locked="0"/>
    </xf>
    <xf numFmtId="49" fontId="4" fillId="3" borderId="7" xfId="0" applyNumberFormat="1" applyFont="1" applyFill="1" applyBorder="1" applyAlignment="1">
      <alignment vertical="center" wrapText="1"/>
    </xf>
    <xf numFmtId="1" fontId="4" fillId="3" borderId="1" xfId="0" applyNumberFormat="1" applyFont="1" applyFill="1" applyBorder="1" applyAlignment="1">
      <alignment vertical="center"/>
    </xf>
    <xf numFmtId="1" fontId="4" fillId="3" borderId="8" xfId="0" applyNumberFormat="1" applyFont="1" applyFill="1" applyBorder="1" applyAlignment="1" applyProtection="1">
      <alignment horizontal="left" vertical="center"/>
      <protection locked="0"/>
    </xf>
    <xf numFmtId="49" fontId="17" fillId="7" borderId="9" xfId="0" applyNumberFormat="1" applyFont="1" applyFill="1" applyBorder="1" applyAlignment="1">
      <alignment vertical="center" wrapText="1"/>
    </xf>
    <xf numFmtId="3" fontId="7" fillId="8" borderId="2" xfId="0" applyNumberFormat="1" applyFont="1" applyFill="1" applyBorder="1" applyAlignment="1" applyProtection="1">
      <alignment horizontal="center" vertical="center" wrapText="1"/>
      <protection locked="0" hidden="1"/>
    </xf>
    <xf numFmtId="0" fontId="7" fillId="8" borderId="2" xfId="0" applyFont="1" applyFill="1" applyBorder="1" applyAlignment="1" applyProtection="1">
      <alignment horizontal="center" vertical="center" wrapText="1"/>
      <protection locked="0" hidden="1"/>
    </xf>
    <xf numFmtId="0" fontId="10" fillId="6" borderId="0" xfId="0" applyFont="1" applyFill="1"/>
    <xf numFmtId="1" fontId="4" fillId="3" borderId="11" xfId="0" applyNumberFormat="1" applyFont="1" applyFill="1" applyBorder="1" applyAlignment="1">
      <alignment vertical="center"/>
    </xf>
    <xf numFmtId="1" fontId="16" fillId="3" borderId="11" xfId="0" applyNumberFormat="1" applyFont="1" applyFill="1" applyBorder="1" applyAlignment="1" applyProtection="1">
      <alignment horizontal="center" wrapText="1"/>
      <protection hidden="1"/>
    </xf>
    <xf numFmtId="1" fontId="16" fillId="3" borderId="12" xfId="0" applyNumberFormat="1" applyFont="1" applyFill="1" applyBorder="1" applyAlignment="1" applyProtection="1">
      <alignment horizontal="center" wrapText="1"/>
      <protection locked="0"/>
    </xf>
    <xf numFmtId="0" fontId="7" fillId="7" borderId="9" xfId="0" applyFont="1" applyFill="1" applyBorder="1" applyAlignment="1">
      <alignment vertical="center" wrapText="1"/>
    </xf>
    <xf numFmtId="49" fontId="17" fillId="6" borderId="14" xfId="0" applyNumberFormat="1" applyFont="1" applyFill="1" applyBorder="1" applyAlignment="1" applyProtection="1">
      <alignment vertical="center" wrapText="1"/>
      <protection hidden="1"/>
    </xf>
    <xf numFmtId="1" fontId="17" fillId="6" borderId="15" xfId="0" applyNumberFormat="1" applyFont="1" applyFill="1" applyBorder="1" applyAlignment="1" applyProtection="1">
      <alignment vertical="center"/>
      <protection hidden="1"/>
    </xf>
    <xf numFmtId="1" fontId="15" fillId="6" borderId="15" xfId="0" applyNumberFormat="1" applyFont="1" applyFill="1" applyBorder="1" applyAlignment="1" applyProtection="1">
      <alignment horizontal="center" wrapText="1"/>
      <protection hidden="1"/>
    </xf>
    <xf numFmtId="1" fontId="15" fillId="6" borderId="15" xfId="0" applyNumberFormat="1" applyFont="1" applyFill="1" applyBorder="1" applyAlignment="1" applyProtection="1">
      <alignment horizontal="left" wrapText="1"/>
      <protection hidden="1"/>
    </xf>
    <xf numFmtId="0" fontId="7" fillId="6" borderId="13" xfId="0" applyFont="1" applyFill="1" applyBorder="1"/>
    <xf numFmtId="0" fontId="7" fillId="6" borderId="13" xfId="0" applyFont="1" applyFill="1" applyBorder="1" applyProtection="1">
      <protection hidden="1"/>
    </xf>
    <xf numFmtId="0" fontId="7" fillId="0" borderId="13" xfId="0" applyFont="1" applyBorder="1"/>
    <xf numFmtId="49" fontId="17" fillId="6" borderId="16" xfId="0" applyNumberFormat="1" applyFont="1" applyFill="1" applyBorder="1" applyAlignment="1" applyProtection="1">
      <alignment vertical="center" wrapText="1"/>
      <protection hidden="1"/>
    </xf>
    <xf numFmtId="1" fontId="18" fillId="6" borderId="17" xfId="0" applyNumberFormat="1" applyFont="1" applyFill="1" applyBorder="1" applyAlignment="1" applyProtection="1">
      <alignment vertical="center"/>
      <protection hidden="1"/>
    </xf>
    <xf numFmtId="1" fontId="15" fillId="6" borderId="17" xfId="0" applyNumberFormat="1" applyFont="1" applyFill="1" applyBorder="1" applyAlignment="1" applyProtection="1">
      <alignment horizontal="center" wrapText="1"/>
      <protection hidden="1"/>
    </xf>
    <xf numFmtId="1" fontId="15" fillId="6" borderId="17" xfId="0" applyNumberFormat="1" applyFont="1" applyFill="1" applyBorder="1" applyAlignment="1" applyProtection="1">
      <alignment horizontal="left" wrapText="1"/>
      <protection hidden="1"/>
    </xf>
    <xf numFmtId="16" fontId="15" fillId="6" borderId="16" xfId="0" applyNumberFormat="1" applyFont="1" applyFill="1" applyBorder="1" applyAlignment="1" applyProtection="1">
      <alignment vertical="top" wrapText="1"/>
      <protection hidden="1"/>
    </xf>
    <xf numFmtId="0" fontId="7" fillId="6" borderId="2" xfId="0" applyFont="1" applyFill="1" applyBorder="1" applyAlignment="1" applyProtection="1">
      <alignment horizontal="left" vertical="center" wrapText="1" indent="2"/>
      <protection hidden="1"/>
    </xf>
    <xf numFmtId="3" fontId="7" fillId="6" borderId="2" xfId="0" applyNumberFormat="1" applyFont="1" applyFill="1" applyBorder="1" applyAlignment="1" applyProtection="1">
      <alignment horizontal="center" vertical="center" wrapText="1"/>
      <protection hidden="1"/>
    </xf>
    <xf numFmtId="0" fontId="7" fillId="6" borderId="2" xfId="0" applyFont="1" applyFill="1" applyBorder="1" applyAlignment="1" applyProtection="1">
      <alignment horizontal="left" vertical="center" wrapText="1"/>
      <protection hidden="1"/>
    </xf>
    <xf numFmtId="0" fontId="7" fillId="6" borderId="12" xfId="0" applyFont="1" applyFill="1" applyBorder="1" applyAlignment="1" applyProtection="1">
      <alignment horizontal="left" vertical="center" wrapText="1" indent="2"/>
      <protection hidden="1"/>
    </xf>
    <xf numFmtId="3" fontId="7" fillId="6" borderId="2" xfId="1" applyNumberFormat="1" applyFont="1" applyFill="1" applyBorder="1" applyAlignment="1" applyProtection="1">
      <alignment horizontal="center" vertical="center" wrapText="1"/>
      <protection hidden="1"/>
    </xf>
    <xf numFmtId="16" fontId="15" fillId="6" borderId="0" xfId="0" applyNumberFormat="1" applyFont="1" applyFill="1" applyAlignment="1" applyProtection="1">
      <alignment vertical="top" wrapText="1"/>
      <protection hidden="1"/>
    </xf>
    <xf numFmtId="0" fontId="7" fillId="6" borderId="0" xfId="0" applyFont="1" applyFill="1" applyAlignment="1" applyProtection="1">
      <alignment horizontal="left" vertical="center" wrapText="1"/>
      <protection hidden="1"/>
    </xf>
    <xf numFmtId="3" fontId="7" fillId="6" borderId="0" xfId="1" applyNumberFormat="1" applyFont="1" applyFill="1" applyBorder="1" applyAlignment="1" applyProtection="1">
      <alignment horizontal="center" vertical="center" wrapText="1"/>
      <protection hidden="1"/>
    </xf>
    <xf numFmtId="0" fontId="7" fillId="0" borderId="0" xfId="0" applyFont="1" applyProtection="1">
      <protection hidden="1"/>
    </xf>
    <xf numFmtId="164" fontId="22" fillId="6" borderId="0" xfId="0" applyNumberFormat="1" applyFont="1" applyFill="1" applyAlignment="1">
      <alignment horizontal="center"/>
    </xf>
    <xf numFmtId="0" fontId="22" fillId="6" borderId="0" xfId="0" applyFont="1" applyFill="1"/>
    <xf numFmtId="3" fontId="22" fillId="6" borderId="0" xfId="0" applyNumberFormat="1" applyFont="1" applyFill="1" applyAlignment="1">
      <alignment horizontal="center"/>
    </xf>
    <xf numFmtId="0" fontId="22" fillId="0" borderId="0" xfId="0" applyFont="1"/>
    <xf numFmtId="0" fontId="11" fillId="0" borderId="0" xfId="0" applyFont="1"/>
    <xf numFmtId="0" fontId="23" fillId="6" borderId="0" xfId="0" applyFont="1" applyFill="1"/>
    <xf numFmtId="49" fontId="24" fillId="7" borderId="9" xfId="0" applyNumberFormat="1" applyFont="1" applyFill="1" applyBorder="1" applyAlignment="1">
      <alignment vertical="center" wrapText="1"/>
    </xf>
    <xf numFmtId="0" fontId="23" fillId="7" borderId="9" xfId="0" applyFont="1" applyFill="1" applyBorder="1" applyAlignment="1">
      <alignment vertical="center" wrapText="1"/>
    </xf>
    <xf numFmtId="49" fontId="16" fillId="3" borderId="10" xfId="0" applyNumberFormat="1" applyFont="1" applyFill="1" applyBorder="1" applyAlignment="1">
      <alignment vertical="center" wrapText="1"/>
    </xf>
    <xf numFmtId="0" fontId="15" fillId="0" borderId="0" xfId="0" applyFont="1" applyProtection="1">
      <protection hidden="1"/>
    </xf>
    <xf numFmtId="165" fontId="7" fillId="0" borderId="0" xfId="0" applyNumberFormat="1" applyFont="1" applyProtection="1">
      <protection hidden="1"/>
    </xf>
    <xf numFmtId="3" fontId="7" fillId="0" borderId="0" xfId="0" applyNumberFormat="1" applyFont="1" applyProtection="1">
      <protection hidden="1"/>
    </xf>
    <xf numFmtId="0" fontId="16" fillId="0" borderId="0" xfId="0" applyFont="1" applyAlignment="1" applyProtection="1">
      <alignment horizontal="left"/>
      <protection hidden="1"/>
    </xf>
    <xf numFmtId="0" fontId="0" fillId="0" borderId="18" xfId="0" applyBorder="1"/>
    <xf numFmtId="0" fontId="10" fillId="0" borderId="0" xfId="0" applyFont="1" applyAlignment="1" applyProtection="1">
      <alignment horizontal="left"/>
      <protection hidden="1"/>
    </xf>
    <xf numFmtId="0" fontId="23" fillId="0" borderId="18" xfId="0" applyFont="1" applyBorder="1" applyAlignment="1" applyProtection="1">
      <alignment horizontal="center"/>
      <protection hidden="1"/>
    </xf>
    <xf numFmtId="0" fontId="11" fillId="0" borderId="18" xfId="0" applyFont="1" applyBorder="1"/>
    <xf numFmtId="0" fontId="0" fillId="0" borderId="4" xfId="0" applyBorder="1" applyAlignment="1">
      <alignment horizontal="center"/>
    </xf>
    <xf numFmtId="0" fontId="0" fillId="0" borderId="4" xfId="0" applyBorder="1" applyAlignment="1">
      <alignment vertical="center"/>
    </xf>
    <xf numFmtId="0" fontId="7" fillId="0" borderId="4" xfId="0" applyFont="1" applyBorder="1" applyProtection="1">
      <protection hidden="1"/>
    </xf>
    <xf numFmtId="0" fontId="0" fillId="0" borderId="6" xfId="0" applyBorder="1" applyAlignment="1">
      <alignment horizontal="center"/>
    </xf>
    <xf numFmtId="2" fontId="7" fillId="0" borderId="4" xfId="0" applyNumberFormat="1" applyFont="1" applyBorder="1" applyProtection="1">
      <protection hidden="1"/>
    </xf>
    <xf numFmtId="0" fontId="0" fillId="2" borderId="4" xfId="0" applyFill="1" applyBorder="1"/>
    <xf numFmtId="0" fontId="0" fillId="2" borderId="4" xfId="0" applyFill="1" applyBorder="1" applyAlignment="1">
      <alignment vertical="center" wrapText="1"/>
    </xf>
    <xf numFmtId="0" fontId="7" fillId="2" borderId="4" xfId="0" applyFont="1" applyFill="1" applyBorder="1"/>
    <xf numFmtId="49" fontId="15" fillId="2" borderId="4" xfId="0" applyNumberFormat="1" applyFont="1" applyFill="1" applyBorder="1" applyAlignment="1">
      <alignment vertical="top" wrapText="1"/>
    </xf>
    <xf numFmtId="0" fontId="7" fillId="2" borderId="0" xfId="0" applyFont="1" applyFill="1" applyAlignment="1">
      <alignment vertical="center" wrapText="1"/>
    </xf>
    <xf numFmtId="0" fontId="0" fillId="2" borderId="4" xfId="0" applyFill="1" applyBorder="1" applyAlignment="1" applyProtection="1">
      <alignment horizontal="center" vertical="center" wrapText="1"/>
      <protection hidden="1"/>
    </xf>
    <xf numFmtId="0" fontId="8" fillId="2" borderId="4" xfId="0" applyFont="1" applyFill="1" applyBorder="1" applyAlignment="1" applyProtection="1">
      <alignment horizontal="left" vertical="center" wrapText="1"/>
      <protection locked="0"/>
    </xf>
    <xf numFmtId="2" fontId="7" fillId="2" borderId="4" xfId="0" applyNumberFormat="1" applyFont="1" applyFill="1" applyBorder="1"/>
    <xf numFmtId="0" fontId="0" fillId="2" borderId="22" xfId="0" applyFill="1" applyBorder="1"/>
    <xf numFmtId="49" fontId="15" fillId="2" borderId="22" xfId="0" applyNumberFormat="1" applyFont="1" applyFill="1" applyBorder="1" applyAlignment="1">
      <alignment vertical="top" wrapText="1"/>
    </xf>
    <xf numFmtId="0" fontId="7" fillId="2" borderId="23" xfId="0" applyFont="1" applyFill="1" applyBorder="1" applyAlignment="1">
      <alignment vertical="center" wrapText="1"/>
    </xf>
    <xf numFmtId="0" fontId="0" fillId="2" borderId="22" xfId="0" applyFill="1" applyBorder="1" applyAlignment="1" applyProtection="1">
      <alignment horizontal="center" vertical="center" wrapText="1"/>
      <protection hidden="1"/>
    </xf>
    <xf numFmtId="0" fontId="7" fillId="2" borderId="22" xfId="0" applyFont="1" applyFill="1" applyBorder="1" applyAlignment="1">
      <alignment horizontal="left" vertical="center" wrapText="1"/>
    </xf>
    <xf numFmtId="0" fontId="0" fillId="2" borderId="22" xfId="0" applyFill="1" applyBorder="1" applyAlignment="1">
      <alignment vertical="center" wrapText="1"/>
    </xf>
    <xf numFmtId="0" fontId="7" fillId="2" borderId="22" xfId="0" applyFont="1" applyFill="1" applyBorder="1"/>
    <xf numFmtId="0" fontId="0" fillId="2" borderId="0" xfId="0" applyFill="1"/>
    <xf numFmtId="49" fontId="15" fillId="2" borderId="0" xfId="0" applyNumberFormat="1" applyFont="1" applyFill="1" applyAlignment="1">
      <alignment vertical="top" wrapText="1"/>
    </xf>
    <xf numFmtId="1" fontId="17" fillId="2" borderId="0" xfId="0" applyNumberFormat="1" applyFont="1" applyFill="1" applyAlignment="1" applyProtection="1">
      <alignment vertical="center"/>
      <protection hidden="1"/>
    </xf>
    <xf numFmtId="0" fontId="0" fillId="2" borderId="0" xfId="0" applyFill="1" applyAlignment="1" applyProtection="1">
      <alignment horizontal="center" vertical="center" wrapText="1"/>
      <protection hidden="1"/>
    </xf>
    <xf numFmtId="0" fontId="7" fillId="2" borderId="0" xfId="0" applyFont="1" applyFill="1" applyAlignment="1">
      <alignment horizontal="left" vertical="center" wrapText="1"/>
    </xf>
    <xf numFmtId="0" fontId="7" fillId="2" borderId="6" xfId="0" applyFont="1" applyFill="1" applyBorder="1" applyAlignment="1">
      <alignment vertical="center"/>
    </xf>
    <xf numFmtId="0" fontId="7" fillId="2" borderId="4" xfId="0" applyFont="1" applyFill="1" applyBorder="1" applyAlignment="1">
      <alignment vertical="center"/>
    </xf>
    <xf numFmtId="0" fontId="7" fillId="2" borderId="0" xfId="0" applyFont="1" applyFill="1"/>
    <xf numFmtId="49" fontId="17" fillId="2" borderId="4" xfId="0" applyNumberFormat="1" applyFont="1" applyFill="1" applyBorder="1" applyAlignment="1" applyProtection="1">
      <alignment vertical="center" wrapText="1"/>
      <protection hidden="1"/>
    </xf>
    <xf numFmtId="1" fontId="17" fillId="2" borderId="4" xfId="0" applyNumberFormat="1" applyFont="1" applyFill="1" applyBorder="1" applyAlignment="1" applyProtection="1">
      <alignment vertical="center"/>
      <protection hidden="1"/>
    </xf>
    <xf numFmtId="1" fontId="15" fillId="2" borderId="4" xfId="0" applyNumberFormat="1" applyFont="1" applyFill="1" applyBorder="1" applyAlignment="1" applyProtection="1">
      <alignment horizontal="center" wrapText="1"/>
      <protection hidden="1"/>
    </xf>
    <xf numFmtId="1" fontId="15" fillId="2" borderId="4" xfId="0" applyNumberFormat="1" applyFont="1" applyFill="1" applyBorder="1" applyAlignment="1" applyProtection="1">
      <alignment wrapText="1"/>
      <protection hidden="1"/>
    </xf>
    <xf numFmtId="0" fontId="7" fillId="2" borderId="21" xfId="0" applyFont="1" applyFill="1" applyBorder="1"/>
    <xf numFmtId="16" fontId="15" fillId="2" borderId="4" xfId="0" applyNumberFormat="1" applyFont="1" applyFill="1" applyBorder="1" applyAlignment="1" applyProtection="1">
      <alignment wrapText="1"/>
      <protection hidden="1"/>
    </xf>
    <xf numFmtId="0" fontId="7" fillId="2" borderId="4" xfId="0" applyFont="1" applyFill="1" applyBorder="1" applyAlignment="1" applyProtection="1">
      <alignment horizontal="left" wrapText="1"/>
      <protection hidden="1"/>
    </xf>
    <xf numFmtId="3" fontId="7" fillId="2" borderId="4" xfId="0" applyNumberFormat="1" applyFont="1" applyFill="1" applyBorder="1" applyAlignment="1" applyProtection="1">
      <alignment horizontal="center" wrapText="1"/>
      <protection hidden="1"/>
    </xf>
    <xf numFmtId="16" fontId="15" fillId="6" borderId="4" xfId="0" applyNumberFormat="1" applyFont="1" applyFill="1" applyBorder="1" applyAlignment="1" applyProtection="1">
      <alignment wrapText="1"/>
      <protection hidden="1"/>
    </xf>
    <xf numFmtId="0" fontId="7" fillId="6" borderId="4" xfId="0" applyFont="1" applyFill="1" applyBorder="1" applyAlignment="1" applyProtection="1">
      <alignment horizontal="left" wrapText="1" indent="2"/>
      <protection hidden="1"/>
    </xf>
    <xf numFmtId="3" fontId="7" fillId="6" borderId="4" xfId="0" applyNumberFormat="1" applyFont="1" applyFill="1" applyBorder="1" applyAlignment="1" applyProtection="1">
      <alignment horizontal="center" wrapText="1"/>
      <protection hidden="1"/>
    </xf>
    <xf numFmtId="0" fontId="7" fillId="6" borderId="4" xfId="0" applyFont="1" applyFill="1" applyBorder="1" applyAlignment="1" applyProtection="1">
      <alignment horizontal="left" wrapText="1"/>
      <protection hidden="1"/>
    </xf>
    <xf numFmtId="164" fontId="7" fillId="6" borderId="4" xfId="0" applyNumberFormat="1" applyFont="1" applyFill="1" applyBorder="1" applyAlignment="1" applyProtection="1">
      <alignment horizontal="center" wrapText="1"/>
      <protection hidden="1"/>
    </xf>
    <xf numFmtId="0" fontId="13" fillId="0" borderId="4" xfId="2" applyBorder="1" applyAlignment="1" applyProtection="1"/>
    <xf numFmtId="0" fontId="8" fillId="6" borderId="4" xfId="0" applyFont="1" applyFill="1" applyBorder="1" applyAlignment="1">
      <alignment horizontal="left" vertical="top"/>
    </xf>
    <xf numFmtId="49" fontId="4" fillId="3" borderId="2" xfId="0" applyNumberFormat="1" applyFont="1" applyFill="1" applyBorder="1" applyAlignment="1">
      <alignment vertical="center" wrapText="1"/>
    </xf>
    <xf numFmtId="49" fontId="15" fillId="7" borderId="2" xfId="0" applyNumberFormat="1" applyFont="1" applyFill="1" applyBorder="1" applyAlignment="1">
      <alignment horizontal="left" vertical="center" wrapText="1"/>
    </xf>
    <xf numFmtId="0" fontId="7" fillId="7" borderId="2" xfId="0" applyFont="1" applyFill="1" applyBorder="1" applyAlignment="1">
      <alignment vertical="center" wrapText="1"/>
    </xf>
    <xf numFmtId="0" fontId="7" fillId="7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7" borderId="2" xfId="0" applyFont="1" applyFill="1" applyBorder="1" applyAlignment="1">
      <alignment horizontal="center" vertical="center"/>
    </xf>
    <xf numFmtId="49" fontId="15" fillId="7" borderId="2" xfId="0" applyNumberFormat="1" applyFont="1" applyFill="1" applyBorder="1" applyAlignment="1">
      <alignment vertical="center" wrapText="1"/>
    </xf>
    <xf numFmtId="0" fontId="7" fillId="0" borderId="4" xfId="0" applyFont="1" applyBorder="1" applyAlignment="1">
      <alignment vertical="center"/>
    </xf>
    <xf numFmtId="2" fontId="7" fillId="0" borderId="4" xfId="0" applyNumberFormat="1" applyFont="1" applyBorder="1" applyAlignment="1" applyProtection="1">
      <alignment vertical="center"/>
      <protection hidden="1"/>
    </xf>
    <xf numFmtId="0" fontId="7" fillId="0" borderId="4" xfId="0" applyFont="1" applyBorder="1" applyAlignment="1" applyProtection="1">
      <alignment vertical="center"/>
      <protection hidden="1"/>
    </xf>
    <xf numFmtId="0" fontId="0" fillId="0" borderId="24" xfId="0" applyBorder="1" applyAlignment="1">
      <alignment vertical="center"/>
    </xf>
    <xf numFmtId="49" fontId="16" fillId="3" borderId="2" xfId="0" applyNumberFormat="1" applyFont="1" applyFill="1" applyBorder="1" applyAlignment="1">
      <alignment vertical="center" wrapText="1"/>
    </xf>
    <xf numFmtId="0" fontId="5" fillId="2" borderId="0" xfId="0" applyFont="1" applyFill="1" applyAlignment="1" applyProtection="1">
      <alignment vertical="center"/>
      <protection hidden="1"/>
    </xf>
    <xf numFmtId="0" fontId="4" fillId="3" borderId="1" xfId="0" applyFont="1" applyFill="1" applyBorder="1" applyAlignment="1" applyProtection="1">
      <alignment horizontal="left" vertical="center"/>
      <protection hidden="1"/>
    </xf>
    <xf numFmtId="0" fontId="4" fillId="3" borderId="1" xfId="0" applyFont="1" applyFill="1" applyBorder="1" applyAlignment="1" applyProtection="1">
      <alignment vertical="center"/>
      <protection hidden="1"/>
    </xf>
    <xf numFmtId="0" fontId="19" fillId="2" borderId="0" xfId="0" applyFont="1" applyFill="1" applyAlignment="1" applyProtection="1">
      <alignment vertical="center"/>
      <protection hidden="1"/>
    </xf>
    <xf numFmtId="0" fontId="0" fillId="2" borderId="0" xfId="0" applyFill="1" applyAlignment="1" applyProtection="1">
      <alignment vertical="center"/>
      <protection hidden="1"/>
    </xf>
    <xf numFmtId="0" fontId="0" fillId="4" borderId="2" xfId="0" applyFill="1" applyBorder="1" applyAlignment="1" applyProtection="1">
      <alignment horizontal="left" vertical="center"/>
      <protection hidden="1"/>
    </xf>
    <xf numFmtId="0" fontId="0" fillId="0" borderId="19" xfId="0" applyBorder="1" applyAlignment="1">
      <alignment vertical="center"/>
    </xf>
    <xf numFmtId="0" fontId="7" fillId="0" borderId="21" xfId="0" applyFont="1" applyBorder="1" applyAlignment="1">
      <alignment vertical="center"/>
    </xf>
    <xf numFmtId="0" fontId="0" fillId="5" borderId="7" xfId="0" applyFill="1" applyBorder="1" applyAlignment="1" applyProtection="1">
      <alignment horizontal="center" vertical="center" wrapText="1"/>
      <protection locked="0" hidden="1"/>
    </xf>
    <xf numFmtId="0" fontId="0" fillId="8" borderId="7" xfId="0" applyFill="1" applyBorder="1" applyAlignment="1" applyProtection="1">
      <alignment horizontal="center" vertical="center" wrapText="1"/>
      <protection locked="0" hidden="1"/>
    </xf>
    <xf numFmtId="0" fontId="0" fillId="8" borderId="7" xfId="0" applyFill="1" applyBorder="1" applyAlignment="1" applyProtection="1">
      <alignment horizontal="center" vertical="center" wrapText="1"/>
      <protection locked="0"/>
    </xf>
    <xf numFmtId="3" fontId="0" fillId="8" borderId="7" xfId="0" applyNumberFormat="1" applyFill="1" applyBorder="1" applyAlignment="1" applyProtection="1">
      <alignment horizontal="center" vertical="center" wrapText="1"/>
      <protection locked="0" hidden="1"/>
    </xf>
    <xf numFmtId="9" fontId="0" fillId="8" borderId="7" xfId="1" applyFont="1" applyFill="1" applyBorder="1" applyAlignment="1" applyProtection="1">
      <alignment horizontal="center" vertical="center" wrapText="1"/>
      <protection locked="0" hidden="1"/>
    </xf>
    <xf numFmtId="0" fontId="0" fillId="0" borderId="20" xfId="0" applyBorder="1" applyAlignment="1" applyProtection="1">
      <alignment vertical="center"/>
      <protection locked="0"/>
    </xf>
    <xf numFmtId="0" fontId="0" fillId="0" borderId="2" xfId="0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164" fontId="0" fillId="8" borderId="7" xfId="1" applyNumberFormat="1" applyFont="1" applyFill="1" applyBorder="1" applyAlignment="1" applyProtection="1">
      <alignment horizontal="center" vertical="center" wrapText="1"/>
      <protection locked="0" hidden="1"/>
    </xf>
    <xf numFmtId="9" fontId="0" fillId="0" borderId="0" xfId="0" applyNumberFormat="1"/>
    <xf numFmtId="3" fontId="0" fillId="0" borderId="0" xfId="0" applyNumberFormat="1"/>
    <xf numFmtId="3" fontId="7" fillId="8" borderId="7" xfId="0" applyNumberFormat="1" applyFont="1" applyFill="1" applyBorder="1" applyAlignment="1" applyProtection="1">
      <alignment horizontal="center" vertical="center" wrapText="1"/>
      <protection locked="0"/>
    </xf>
    <xf numFmtId="1" fontId="4" fillId="3" borderId="7" xfId="0" applyNumberFormat="1" applyFont="1" applyFill="1" applyBorder="1" applyAlignment="1">
      <alignment vertical="center"/>
    </xf>
    <xf numFmtId="1" fontId="4" fillId="3" borderId="8" xfId="0" applyNumberFormat="1" applyFont="1" applyFill="1" applyBorder="1" applyAlignment="1">
      <alignment vertical="center"/>
    </xf>
    <xf numFmtId="0" fontId="0" fillId="2" borderId="4" xfId="0" applyFill="1" applyBorder="1" applyAlignment="1">
      <alignment vertical="center"/>
    </xf>
    <xf numFmtId="0" fontId="8" fillId="6" borderId="0" xfId="0" applyFont="1" applyFill="1" applyAlignment="1">
      <alignment horizontal="left" vertical="center"/>
    </xf>
    <xf numFmtId="0" fontId="0" fillId="2" borderId="0" xfId="0" applyFill="1" applyAlignment="1" applyProtection="1">
      <alignment horizontal="left" vertical="center"/>
      <protection hidden="1"/>
    </xf>
    <xf numFmtId="0" fontId="9" fillId="2" borderId="0" xfId="0" applyFont="1" applyFill="1" applyAlignment="1" applyProtection="1">
      <alignment vertical="center"/>
      <protection hidden="1"/>
    </xf>
    <xf numFmtId="0" fontId="10" fillId="2" borderId="0" xfId="0" applyFont="1" applyFill="1" applyAlignment="1" applyProtection="1">
      <alignment vertical="center"/>
      <protection hidden="1"/>
    </xf>
    <xf numFmtId="0" fontId="8" fillId="6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2" fontId="7" fillId="2" borderId="4" xfId="0" applyNumberFormat="1" applyFont="1" applyFill="1" applyBorder="1" applyAlignment="1">
      <alignment vertical="center"/>
    </xf>
    <xf numFmtId="0" fontId="11" fillId="2" borderId="0" xfId="0" quotePrefix="1" applyFont="1" applyFill="1" applyAlignment="1" applyProtection="1">
      <alignment vertical="center"/>
      <protection hidden="1"/>
    </xf>
    <xf numFmtId="0" fontId="0" fillId="6" borderId="0" xfId="0" applyFill="1" applyAlignment="1">
      <alignment wrapText="1"/>
    </xf>
    <xf numFmtId="49" fontId="12" fillId="6" borderId="0" xfId="0" applyNumberFormat="1" applyFont="1" applyFill="1" applyAlignment="1">
      <alignment vertical="center"/>
    </xf>
    <xf numFmtId="0" fontId="13" fillId="0" borderId="0" xfId="2" applyAlignment="1" applyProtection="1">
      <protection hidden="1"/>
    </xf>
    <xf numFmtId="0" fontId="10" fillId="6" borderId="0" xfId="0" applyFont="1" applyFill="1" applyAlignment="1" applyProtection="1">
      <alignment vertical="center"/>
      <protection hidden="1"/>
    </xf>
    <xf numFmtId="0" fontId="7" fillId="6" borderId="0" xfId="0" applyFont="1" applyFill="1" applyAlignment="1" applyProtection="1">
      <alignment vertical="center"/>
      <protection hidden="1"/>
    </xf>
    <xf numFmtId="0" fontId="7" fillId="6" borderId="0" xfId="0" applyFont="1" applyFill="1" applyAlignment="1" applyProtection="1">
      <alignment wrapText="1"/>
      <protection hidden="1"/>
    </xf>
    <xf numFmtId="0" fontId="7" fillId="6" borderId="0" xfId="0" applyFont="1" applyFill="1" applyAlignment="1">
      <alignment wrapText="1"/>
    </xf>
    <xf numFmtId="49" fontId="10" fillId="6" borderId="16" xfId="0" applyNumberFormat="1" applyFont="1" applyFill="1" applyBorder="1" applyAlignment="1">
      <alignment vertical="center" wrapText="1"/>
    </xf>
    <xf numFmtId="0" fontId="16" fillId="6" borderId="0" xfId="0" applyFont="1" applyFill="1" applyAlignment="1" applyProtection="1">
      <alignment vertical="center" wrapText="1"/>
      <protection hidden="1"/>
    </xf>
    <xf numFmtId="0" fontId="0" fillId="6" borderId="0" xfId="0" applyFill="1" applyAlignment="1">
      <alignment vertical="center" wrapText="1"/>
    </xf>
    <xf numFmtId="49" fontId="4" fillId="3" borderId="10" xfId="0" applyNumberFormat="1" applyFont="1" applyFill="1" applyBorder="1" applyAlignment="1">
      <alignment vertical="center" wrapText="1"/>
    </xf>
    <xf numFmtId="1" fontId="4" fillId="3" borderId="11" xfId="0" applyNumberFormat="1" applyFont="1" applyFill="1" applyBorder="1" applyAlignment="1" applyProtection="1">
      <alignment vertical="center"/>
      <protection hidden="1"/>
    </xf>
    <xf numFmtId="1" fontId="16" fillId="3" borderId="11" xfId="0" applyNumberFormat="1" applyFont="1" applyFill="1" applyBorder="1" applyAlignment="1">
      <alignment wrapText="1"/>
    </xf>
    <xf numFmtId="0" fontId="25" fillId="6" borderId="0" xfId="0" applyFont="1" applyFill="1" applyAlignment="1" applyProtection="1">
      <alignment vertical="center" wrapText="1"/>
      <protection hidden="1"/>
    </xf>
    <xf numFmtId="49" fontId="7" fillId="7" borderId="25" xfId="0" applyNumberFormat="1" applyFont="1" applyFill="1" applyBorder="1" applyAlignment="1">
      <alignment vertical="center" wrapText="1"/>
    </xf>
    <xf numFmtId="0" fontId="7" fillId="7" borderId="26" xfId="0" applyFont="1" applyFill="1" applyBorder="1" applyAlignment="1" applyProtection="1">
      <alignment vertical="center" wrapText="1"/>
      <protection hidden="1"/>
    </xf>
    <xf numFmtId="0" fontId="0" fillId="8" borderId="29" xfId="0" applyFill="1" applyBorder="1" applyAlignment="1" applyProtection="1">
      <alignment horizontal="left" vertical="center" wrapText="1"/>
      <protection locked="0" hidden="1"/>
    </xf>
    <xf numFmtId="0" fontId="7" fillId="6" borderId="0" xfId="0" applyFont="1" applyFill="1" applyAlignment="1" applyProtection="1">
      <alignment vertical="center" wrapText="1"/>
      <protection hidden="1"/>
    </xf>
    <xf numFmtId="0" fontId="7" fillId="6" borderId="0" xfId="0" applyFont="1" applyFill="1" applyAlignment="1">
      <alignment vertical="center" wrapText="1"/>
    </xf>
    <xf numFmtId="0" fontId="7" fillId="7" borderId="7" xfId="0" applyFont="1" applyFill="1" applyBorder="1" applyAlignment="1" applyProtection="1">
      <alignment horizontal="center" vertical="center" wrapText="1"/>
      <protection hidden="1"/>
    </xf>
    <xf numFmtId="49" fontId="7" fillId="7" borderId="2" xfId="0" applyNumberFormat="1" applyFont="1" applyFill="1" applyBorder="1" applyAlignment="1">
      <alignment vertical="center" wrapText="1"/>
    </xf>
    <xf numFmtId="0" fontId="7" fillId="7" borderId="8" xfId="0" applyFont="1" applyFill="1" applyBorder="1" applyAlignment="1" applyProtection="1">
      <alignment vertical="center" wrapText="1"/>
      <protection hidden="1"/>
    </xf>
    <xf numFmtId="3" fontId="0" fillId="8" borderId="7" xfId="0" applyNumberFormat="1" applyFill="1" applyBorder="1" applyAlignment="1" applyProtection="1">
      <alignment horizontal="left" vertical="center" wrapText="1"/>
      <protection locked="0" hidden="1"/>
    </xf>
    <xf numFmtId="0" fontId="0" fillId="0" borderId="0" xfId="0" applyAlignment="1">
      <alignment wrapText="1"/>
    </xf>
    <xf numFmtId="0" fontId="7" fillId="7" borderId="17" xfId="0" applyFont="1" applyFill="1" applyBorder="1" applyAlignment="1" applyProtection="1">
      <alignment vertical="center" wrapText="1"/>
      <protection hidden="1"/>
    </xf>
    <xf numFmtId="0" fontId="7" fillId="7" borderId="2" xfId="0" applyFont="1" applyFill="1" applyBorder="1" applyAlignment="1" applyProtection="1">
      <alignment vertical="center" wrapText="1"/>
      <protection hidden="1"/>
    </xf>
    <xf numFmtId="0" fontId="0" fillId="8" borderId="7" xfId="0" applyFill="1" applyBorder="1" applyAlignment="1" applyProtection="1">
      <alignment horizontal="left" vertical="center" wrapText="1"/>
      <protection locked="0" hidden="1"/>
    </xf>
    <xf numFmtId="0" fontId="0" fillId="8" borderId="17" xfId="0" applyFill="1" applyBorder="1" applyAlignment="1" applyProtection="1">
      <alignment horizontal="left" vertical="center" wrapText="1"/>
      <protection locked="0" hidden="1"/>
    </xf>
    <xf numFmtId="0" fontId="0" fillId="8" borderId="17" xfId="0" applyFill="1" applyBorder="1" applyAlignment="1" applyProtection="1">
      <alignment horizontal="left" vertical="center" wrapText="1"/>
      <protection locked="0"/>
    </xf>
    <xf numFmtId="49" fontId="10" fillId="6" borderId="2" xfId="0" applyNumberFormat="1" applyFont="1" applyFill="1" applyBorder="1" applyAlignment="1">
      <alignment vertical="center" wrapText="1"/>
    </xf>
    <xf numFmtId="0" fontId="16" fillId="6" borderId="17" xfId="0" applyFont="1" applyFill="1" applyBorder="1" applyAlignment="1" applyProtection="1">
      <alignment vertical="center" wrapText="1"/>
      <protection hidden="1"/>
    </xf>
    <xf numFmtId="0" fontId="0" fillId="6" borderId="17" xfId="0" applyFill="1" applyBorder="1" applyAlignment="1" applyProtection="1">
      <alignment horizontal="center" wrapText="1"/>
      <protection hidden="1"/>
    </xf>
    <xf numFmtId="0" fontId="0" fillId="6" borderId="17" xfId="0" applyFill="1" applyBorder="1" applyAlignment="1" applyProtection="1">
      <alignment horizontal="center" vertical="center" wrapText="1"/>
      <protection locked="0"/>
    </xf>
    <xf numFmtId="49" fontId="7" fillId="7" borderId="1" xfId="0" applyNumberFormat="1" applyFont="1" applyFill="1" applyBorder="1" applyAlignment="1">
      <alignment horizontal="left" vertical="center" wrapText="1"/>
    </xf>
    <xf numFmtId="0" fontId="7" fillId="6" borderId="0" xfId="0" applyFont="1" applyFill="1" applyAlignment="1" applyProtection="1">
      <alignment horizontal="center" vertical="center"/>
      <protection hidden="1"/>
    </xf>
    <xf numFmtId="0" fontId="0" fillId="0" borderId="0" xfId="0" applyAlignment="1">
      <alignment vertical="center" wrapText="1"/>
    </xf>
    <xf numFmtId="49" fontId="10" fillId="6" borderId="9" xfId="0" applyNumberFormat="1" applyFont="1" applyFill="1" applyBorder="1" applyAlignment="1">
      <alignment vertical="center" wrapText="1"/>
    </xf>
    <xf numFmtId="49" fontId="4" fillId="3" borderId="9" xfId="0" applyNumberFormat="1" applyFont="1" applyFill="1" applyBorder="1" applyAlignment="1">
      <alignment vertical="center" wrapText="1"/>
    </xf>
    <xf numFmtId="1" fontId="28" fillId="6" borderId="30" xfId="0" applyNumberFormat="1" applyFont="1" applyFill="1" applyBorder="1" applyAlignment="1" applyProtection="1">
      <alignment vertical="center" wrapText="1"/>
      <protection hidden="1"/>
    </xf>
    <xf numFmtId="0" fontId="0" fillId="7" borderId="7" xfId="0" applyFill="1" applyBorder="1" applyAlignment="1" applyProtection="1">
      <alignment horizontal="left" vertical="center" wrapText="1"/>
      <protection hidden="1"/>
    </xf>
    <xf numFmtId="1" fontId="16" fillId="3" borderId="1" xfId="0" applyNumberFormat="1" applyFont="1" applyFill="1" applyBorder="1" applyAlignment="1" applyProtection="1">
      <alignment horizontal="center" wrapText="1"/>
      <protection hidden="1"/>
    </xf>
    <xf numFmtId="1" fontId="16" fillId="3" borderId="1" xfId="0" applyNumberFormat="1" applyFont="1" applyFill="1" applyBorder="1" applyAlignment="1">
      <alignment wrapText="1"/>
    </xf>
    <xf numFmtId="49" fontId="7" fillId="7" borderId="9" xfId="0" applyNumberFormat="1" applyFont="1" applyFill="1" applyBorder="1" applyAlignment="1">
      <alignment horizontal="left" vertical="center" wrapText="1"/>
    </xf>
    <xf numFmtId="0" fontId="7" fillId="7" borderId="9" xfId="0" applyFont="1" applyFill="1" applyBorder="1" applyAlignment="1" applyProtection="1">
      <alignment vertical="center" wrapText="1"/>
      <protection hidden="1"/>
    </xf>
    <xf numFmtId="49" fontId="7" fillId="7" borderId="16" xfId="0" applyNumberFormat="1" applyFont="1" applyFill="1" applyBorder="1" applyAlignment="1">
      <alignment horizontal="left" vertical="center" wrapText="1"/>
    </xf>
    <xf numFmtId="49" fontId="7" fillId="7" borderId="16" xfId="0" applyNumberFormat="1" applyFont="1" applyFill="1" applyBorder="1" applyAlignment="1" applyProtection="1">
      <alignment horizontal="left" vertical="center" wrapText="1"/>
      <protection hidden="1"/>
    </xf>
    <xf numFmtId="0" fontId="0" fillId="7" borderId="16" xfId="0" applyFill="1" applyBorder="1" applyAlignment="1" applyProtection="1">
      <alignment vertical="center" wrapText="1"/>
      <protection hidden="1"/>
    </xf>
    <xf numFmtId="166" fontId="0" fillId="7" borderId="7" xfId="0" applyNumberFormat="1" applyFill="1" applyBorder="1" applyAlignment="1" applyProtection="1">
      <alignment horizontal="left" vertical="center" wrapText="1"/>
      <protection hidden="1"/>
    </xf>
    <xf numFmtId="0" fontId="7" fillId="0" borderId="0" xfId="0" applyFont="1" applyAlignment="1">
      <alignment wrapText="1"/>
    </xf>
    <xf numFmtId="49" fontId="7" fillId="7" borderId="25" xfId="0" applyNumberFormat="1" applyFont="1" applyFill="1" applyBorder="1" applyAlignment="1">
      <alignment horizontal="left" vertical="center" wrapText="1"/>
    </xf>
    <xf numFmtId="0" fontId="0" fillId="7" borderId="16" xfId="0" applyFill="1" applyBorder="1" applyAlignment="1" applyProtection="1">
      <alignment wrapText="1"/>
      <protection hidden="1"/>
    </xf>
    <xf numFmtId="0" fontId="7" fillId="7" borderId="2" xfId="0" applyFont="1" applyFill="1" applyBorder="1" applyAlignment="1" applyProtection="1">
      <alignment horizontal="center" vertical="center" wrapText="1"/>
      <protection hidden="1"/>
    </xf>
    <xf numFmtId="0" fontId="0" fillId="7" borderId="25" xfId="0" applyFill="1" applyBorder="1" applyAlignment="1" applyProtection="1">
      <alignment wrapText="1"/>
      <protection hidden="1"/>
    </xf>
    <xf numFmtId="166" fontId="0" fillId="8" borderId="7" xfId="0" applyNumberFormat="1" applyFill="1" applyBorder="1" applyAlignment="1" applyProtection="1">
      <alignment horizontal="left" vertical="center" wrapText="1"/>
      <protection locked="0" hidden="1"/>
    </xf>
    <xf numFmtId="166" fontId="0" fillId="7" borderId="7" xfId="0" applyNumberFormat="1" applyFill="1" applyBorder="1" applyAlignment="1" applyProtection="1">
      <alignment horizontal="left" vertical="center" wrapText="1"/>
      <protection locked="0" hidden="1"/>
    </xf>
    <xf numFmtId="2" fontId="0" fillId="7" borderId="7" xfId="0" applyNumberFormat="1" applyFill="1" applyBorder="1" applyAlignment="1" applyProtection="1">
      <alignment horizontal="left" vertical="center" wrapText="1"/>
      <protection hidden="1"/>
    </xf>
    <xf numFmtId="0" fontId="0" fillId="7" borderId="25" xfId="0" applyFill="1" applyBorder="1" applyAlignment="1" applyProtection="1">
      <alignment vertical="center" wrapText="1"/>
      <protection hidden="1"/>
    </xf>
    <xf numFmtId="0" fontId="25" fillId="6" borderId="0" xfId="0" applyFont="1" applyFill="1" applyAlignment="1" applyProtection="1">
      <alignment horizontal="left" vertical="center" wrapText="1"/>
      <protection hidden="1"/>
    </xf>
    <xf numFmtId="0" fontId="7" fillId="0" borderId="0" xfId="0" applyFont="1" applyAlignment="1">
      <alignment vertical="center" wrapText="1"/>
    </xf>
    <xf numFmtId="0" fontId="0" fillId="6" borderId="0" xfId="0" applyFill="1" applyAlignment="1" applyProtection="1">
      <alignment wrapText="1"/>
      <protection hidden="1"/>
    </xf>
    <xf numFmtId="49" fontId="17" fillId="6" borderId="9" xfId="0" applyNumberFormat="1" applyFont="1" applyFill="1" applyBorder="1" applyAlignment="1" applyProtection="1">
      <alignment vertical="center" wrapText="1"/>
      <protection hidden="1"/>
    </xf>
    <xf numFmtId="1" fontId="17" fillId="6" borderId="30" xfId="0" applyNumberFormat="1" applyFont="1" applyFill="1" applyBorder="1" applyAlignment="1" applyProtection="1">
      <alignment vertical="center"/>
      <protection hidden="1"/>
    </xf>
    <xf numFmtId="49" fontId="18" fillId="6" borderId="0" xfId="0" applyNumberFormat="1" applyFont="1" applyFill="1" applyAlignment="1" applyProtection="1">
      <alignment vertical="center" wrapText="1"/>
      <protection hidden="1"/>
    </xf>
    <xf numFmtId="0" fontId="25" fillId="6" borderId="0" xfId="0" applyFont="1" applyFill="1" applyAlignment="1">
      <alignment wrapText="1"/>
    </xf>
    <xf numFmtId="1" fontId="15" fillId="6" borderId="30" xfId="0" applyNumberFormat="1" applyFont="1" applyFill="1" applyBorder="1" applyAlignment="1" applyProtection="1">
      <alignment horizontal="center" wrapText="1"/>
      <protection hidden="1"/>
    </xf>
    <xf numFmtId="1" fontId="15" fillId="6" borderId="30" xfId="0" applyNumberFormat="1" applyFont="1" applyFill="1" applyBorder="1" applyAlignment="1" applyProtection="1">
      <alignment wrapText="1"/>
      <protection hidden="1"/>
    </xf>
    <xf numFmtId="0" fontId="10" fillId="6" borderId="0" xfId="0" applyFont="1" applyFill="1" applyAlignment="1" applyProtection="1">
      <alignment wrapText="1"/>
      <protection hidden="1"/>
    </xf>
    <xf numFmtId="1" fontId="18" fillId="6" borderId="17" xfId="0" applyNumberFormat="1" applyFont="1" applyFill="1" applyBorder="1" applyProtection="1">
      <protection hidden="1"/>
    </xf>
    <xf numFmtId="1" fontId="15" fillId="6" borderId="17" xfId="0" applyNumberFormat="1" applyFont="1" applyFill="1" applyBorder="1" applyAlignment="1" applyProtection="1">
      <alignment wrapText="1"/>
      <protection hidden="1"/>
    </xf>
    <xf numFmtId="16" fontId="7" fillId="6" borderId="16" xfId="0" applyNumberFormat="1" applyFont="1" applyFill="1" applyBorder="1" applyAlignment="1" applyProtection="1">
      <alignment vertical="center" wrapText="1"/>
      <protection hidden="1"/>
    </xf>
    <xf numFmtId="0" fontId="7" fillId="6" borderId="2" xfId="0" applyFont="1" applyFill="1" applyBorder="1" applyAlignment="1" applyProtection="1">
      <alignment horizontal="left" wrapText="1" indent="2"/>
      <protection hidden="1"/>
    </xf>
    <xf numFmtId="9" fontId="7" fillId="6" borderId="2" xfId="1" applyFont="1" applyFill="1" applyBorder="1" applyAlignment="1" applyProtection="1">
      <alignment horizontal="center" vertical="center" wrapText="1"/>
      <protection hidden="1"/>
    </xf>
    <xf numFmtId="16" fontId="7" fillId="6" borderId="0" xfId="0" applyNumberFormat="1" applyFont="1" applyFill="1" applyAlignment="1" applyProtection="1">
      <alignment vertical="center" wrapText="1"/>
      <protection hidden="1"/>
    </xf>
    <xf numFmtId="0" fontId="7" fillId="6" borderId="0" xfId="0" applyFont="1" applyFill="1" applyAlignment="1" applyProtection="1">
      <alignment horizontal="left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0" xfId="0" applyAlignment="1" applyProtection="1">
      <alignment wrapText="1"/>
      <protection hidden="1"/>
    </xf>
    <xf numFmtId="0" fontId="7" fillId="6" borderId="0" xfId="0" applyFont="1" applyFill="1" applyProtection="1">
      <protection locked="0" hidden="1"/>
    </xf>
    <xf numFmtId="0" fontId="7" fillId="11" borderId="0" xfId="0" applyFont="1" applyFill="1" applyProtection="1">
      <protection locked="0" hidden="1"/>
    </xf>
    <xf numFmtId="166" fontId="7" fillId="6" borderId="0" xfId="0" applyNumberFormat="1" applyFont="1" applyFill="1" applyProtection="1">
      <protection locked="0" hidden="1"/>
    </xf>
    <xf numFmtId="3" fontId="7" fillId="6" borderId="0" xfId="0" applyNumberFormat="1" applyFont="1" applyFill="1" applyProtection="1">
      <protection locked="0" hidden="1"/>
    </xf>
    <xf numFmtId="2" fontId="7" fillId="6" borderId="0" xfId="0" applyNumberFormat="1" applyFont="1" applyFill="1" applyProtection="1">
      <protection locked="0" hidden="1"/>
    </xf>
    <xf numFmtId="1" fontId="7" fillId="6" borderId="0" xfId="0" applyNumberFormat="1" applyFont="1" applyFill="1" applyProtection="1">
      <protection locked="0" hidden="1"/>
    </xf>
    <xf numFmtId="0" fontId="30" fillId="6" borderId="0" xfId="0" applyFont="1" applyFill="1" applyAlignment="1" applyProtection="1">
      <alignment horizontal="left" vertical="center" wrapText="1"/>
      <protection locked="0" hidden="1"/>
    </xf>
    <xf numFmtId="0" fontId="30" fillId="6" borderId="0" xfId="0" applyFont="1" applyFill="1" applyProtection="1">
      <protection locked="0" hidden="1"/>
    </xf>
    <xf numFmtId="3" fontId="30" fillId="6" borderId="0" xfId="0" applyNumberFormat="1" applyFont="1" applyFill="1" applyAlignment="1" applyProtection="1">
      <alignment horizontal="center" vertical="center" wrapText="1"/>
      <protection locked="0" hidden="1"/>
    </xf>
    <xf numFmtId="0" fontId="31" fillId="6" borderId="0" xfId="0" applyFont="1" applyFill="1" applyProtection="1">
      <protection locked="0" hidden="1"/>
    </xf>
    <xf numFmtId="0" fontId="30" fillId="6" borderId="0" xfId="0" applyFont="1" applyFill="1" applyAlignment="1" applyProtection="1">
      <alignment horizontal="center" vertical="center" wrapText="1"/>
      <protection locked="0" hidden="1"/>
    </xf>
    <xf numFmtId="0" fontId="30" fillId="6" borderId="0" xfId="0" applyFont="1" applyFill="1" applyAlignment="1" applyProtection="1">
      <alignment horizontal="center" vertical="center"/>
      <protection locked="0" hidden="1"/>
    </xf>
    <xf numFmtId="9" fontId="30" fillId="6" borderId="0" xfId="0" applyNumberFormat="1" applyFont="1" applyFill="1" applyAlignment="1" applyProtection="1">
      <alignment horizontal="center" vertical="center"/>
      <protection locked="0" hidden="1"/>
    </xf>
    <xf numFmtId="165" fontId="30" fillId="6" borderId="0" xfId="0" applyNumberFormat="1" applyFont="1" applyFill="1" applyAlignment="1" applyProtection="1">
      <alignment horizontal="center" vertical="center"/>
      <protection locked="0" hidden="1"/>
    </xf>
    <xf numFmtId="0" fontId="30" fillId="6" borderId="0" xfId="0" applyFont="1" applyFill="1" applyAlignment="1" applyProtection="1">
      <alignment horizontal="center"/>
      <protection locked="0" hidden="1"/>
    </xf>
    <xf numFmtId="166" fontId="30" fillId="6" borderId="0" xfId="0" applyNumberFormat="1" applyFont="1" applyFill="1" applyAlignment="1" applyProtection="1">
      <alignment horizontal="center"/>
      <protection locked="0" hidden="1"/>
    </xf>
    <xf numFmtId="1" fontId="30" fillId="6" borderId="0" xfId="0" applyNumberFormat="1" applyFont="1" applyFill="1" applyAlignment="1" applyProtection="1">
      <alignment horizontal="center" vertical="center"/>
      <protection locked="0" hidden="1"/>
    </xf>
    <xf numFmtId="3" fontId="30" fillId="6" borderId="0" xfId="0" applyNumberFormat="1" applyFont="1" applyFill="1" applyAlignment="1" applyProtection="1">
      <alignment horizontal="center" vertical="center"/>
      <protection locked="0" hidden="1"/>
    </xf>
    <xf numFmtId="2" fontId="30" fillId="6" borderId="0" xfId="0" applyNumberFormat="1" applyFont="1" applyFill="1" applyAlignment="1" applyProtection="1">
      <alignment horizontal="center" vertical="center"/>
      <protection locked="0" hidden="1"/>
    </xf>
    <xf numFmtId="3" fontId="30" fillId="11" borderId="0" xfId="0" applyNumberFormat="1" applyFont="1" applyFill="1" applyAlignment="1" applyProtection="1">
      <alignment horizontal="center" vertical="center"/>
      <protection locked="0" hidden="1"/>
    </xf>
    <xf numFmtId="1" fontId="30" fillId="11" borderId="0" xfId="0" applyNumberFormat="1" applyFont="1" applyFill="1" applyAlignment="1" applyProtection="1">
      <alignment horizontal="center" vertical="center"/>
      <protection locked="0" hidden="1"/>
    </xf>
    <xf numFmtId="165" fontId="30" fillId="11" borderId="0" xfId="0" applyNumberFormat="1" applyFont="1" applyFill="1" applyAlignment="1" applyProtection="1">
      <alignment horizontal="center" vertical="center"/>
      <protection locked="0" hidden="1"/>
    </xf>
    <xf numFmtId="0" fontId="33" fillId="7" borderId="0" xfId="0" applyFont="1" applyFill="1"/>
    <xf numFmtId="0" fontId="34" fillId="7" borderId="0" xfId="0" applyFont="1" applyFill="1" applyAlignment="1" applyProtection="1">
      <alignment horizontal="center"/>
      <protection hidden="1"/>
    </xf>
    <xf numFmtId="0" fontId="0" fillId="7" borderId="0" xfId="0" applyFill="1"/>
    <xf numFmtId="0" fontId="35" fillId="6" borderId="0" xfId="0" applyFont="1" applyFill="1" applyAlignment="1" applyProtection="1">
      <alignment horizontal="center"/>
      <protection hidden="1"/>
    </xf>
    <xf numFmtId="0" fontId="36" fillId="0" borderId="0" xfId="0" applyFont="1"/>
    <xf numFmtId="0" fontId="21" fillId="0" borderId="0" xfId="0" applyFont="1"/>
    <xf numFmtId="0" fontId="37" fillId="9" borderId="18" xfId="0" applyFont="1" applyFill="1" applyBorder="1" applyAlignment="1">
      <alignment horizontal="center" vertical="center" wrapText="1"/>
    </xf>
    <xf numFmtId="0" fontId="38" fillId="9" borderId="33" xfId="0" applyFont="1" applyFill="1" applyBorder="1"/>
    <xf numFmtId="0" fontId="39" fillId="15" borderId="34" xfId="0" applyFont="1" applyFill="1" applyBorder="1" applyAlignment="1">
      <alignment vertical="center"/>
    </xf>
    <xf numFmtId="0" fontId="37" fillId="9" borderId="0" xfId="0" applyFont="1" applyFill="1" applyAlignment="1">
      <alignment horizontal="center" vertical="center" wrapText="1"/>
    </xf>
    <xf numFmtId="0" fontId="40" fillId="9" borderId="33" xfId="0" applyFont="1" applyFill="1" applyBorder="1" applyAlignment="1">
      <alignment vertical="center"/>
    </xf>
    <xf numFmtId="0" fontId="37" fillId="11" borderId="18" xfId="0" applyFont="1" applyFill="1" applyBorder="1" applyAlignment="1">
      <alignment horizontal="center" vertical="center"/>
    </xf>
    <xf numFmtId="0" fontId="36" fillId="9" borderId="35" xfId="0" applyFont="1" applyFill="1" applyBorder="1" applyAlignment="1">
      <alignment horizontal="center"/>
    </xf>
    <xf numFmtId="44" fontId="37" fillId="9" borderId="35" xfId="0" applyNumberFormat="1" applyFont="1" applyFill="1" applyBorder="1" applyAlignment="1">
      <alignment horizontal="center" vertical="center" wrapText="1"/>
    </xf>
    <xf numFmtId="2" fontId="37" fillId="11" borderId="18" xfId="0" applyNumberFormat="1" applyFont="1" applyFill="1" applyBorder="1" applyAlignment="1">
      <alignment horizontal="center" vertical="center"/>
    </xf>
    <xf numFmtId="0" fontId="40" fillId="9" borderId="18" xfId="0" applyFont="1" applyFill="1" applyBorder="1" applyAlignment="1">
      <alignment horizontal="center" vertical="center" wrapText="1"/>
    </xf>
    <xf numFmtId="0" fontId="41" fillId="15" borderId="34" xfId="0" applyFont="1" applyFill="1" applyBorder="1" applyAlignment="1">
      <alignment vertical="center"/>
    </xf>
    <xf numFmtId="0" fontId="40" fillId="11" borderId="18" xfId="0" applyFont="1" applyFill="1" applyBorder="1" applyAlignment="1">
      <alignment horizontal="center" vertical="center"/>
    </xf>
    <xf numFmtId="44" fontId="40" fillId="9" borderId="35" xfId="0" applyNumberFormat="1" applyFont="1" applyFill="1" applyBorder="1" applyAlignment="1">
      <alignment horizontal="center" vertical="center" wrapText="1"/>
    </xf>
    <xf numFmtId="165" fontId="40" fillId="11" borderId="18" xfId="0" applyNumberFormat="1" applyFont="1" applyFill="1" applyBorder="1" applyAlignment="1">
      <alignment horizontal="center" vertical="center"/>
    </xf>
    <xf numFmtId="2" fontId="40" fillId="11" borderId="18" xfId="0" applyNumberFormat="1" applyFont="1" applyFill="1" applyBorder="1" applyAlignment="1">
      <alignment horizontal="center" vertical="center"/>
    </xf>
    <xf numFmtId="0" fontId="40" fillId="9" borderId="35" xfId="0" applyFont="1" applyFill="1" applyBorder="1" applyAlignment="1">
      <alignment horizontal="center" vertical="center" wrapText="1"/>
    </xf>
    <xf numFmtId="0" fontId="40" fillId="9" borderId="35" xfId="0" applyFont="1" applyFill="1" applyBorder="1" applyAlignment="1">
      <alignment horizontal="center" vertical="center"/>
    </xf>
    <xf numFmtId="0" fontId="38" fillId="9" borderId="36" xfId="0" applyFont="1" applyFill="1" applyBorder="1"/>
    <xf numFmtId="0" fontId="41" fillId="15" borderId="37" xfId="0" applyFont="1" applyFill="1" applyBorder="1" applyAlignment="1">
      <alignment vertical="center"/>
    </xf>
    <xf numFmtId="0" fontId="40" fillId="11" borderId="38" xfId="0" applyFont="1" applyFill="1" applyBorder="1" applyAlignment="1">
      <alignment horizontal="center" vertical="center" wrapText="1"/>
    </xf>
    <xf numFmtId="0" fontId="40" fillId="9" borderId="39" xfId="0" applyFont="1" applyFill="1" applyBorder="1" applyAlignment="1">
      <alignment horizontal="center" vertical="center"/>
    </xf>
    <xf numFmtId="0" fontId="40" fillId="9" borderId="40" xfId="0" applyFont="1" applyFill="1" applyBorder="1" applyAlignment="1">
      <alignment horizontal="center" vertical="center"/>
    </xf>
    <xf numFmtId="0" fontId="40" fillId="9" borderId="41" xfId="0" applyFont="1" applyFill="1" applyBorder="1" applyAlignment="1">
      <alignment horizontal="center" vertical="center" wrapText="1"/>
    </xf>
    <xf numFmtId="0" fontId="42" fillId="11" borderId="38" xfId="0" applyFont="1" applyFill="1" applyBorder="1" applyAlignment="1">
      <alignment horizontal="center" vertical="center" wrapText="1"/>
    </xf>
    <xf numFmtId="0" fontId="40" fillId="9" borderId="36" xfId="0" applyFont="1" applyFill="1" applyBorder="1" applyAlignment="1">
      <alignment vertical="center"/>
    </xf>
    <xf numFmtId="0" fontId="40" fillId="9" borderId="42" xfId="0" applyFont="1" applyFill="1" applyBorder="1" applyAlignment="1">
      <alignment vertical="center"/>
    </xf>
    <xf numFmtId="0" fontId="42" fillId="11" borderId="43" xfId="0" applyFont="1" applyFill="1" applyBorder="1" applyAlignment="1">
      <alignment horizontal="center" vertical="center" wrapText="1"/>
    </xf>
    <xf numFmtId="0" fontId="40" fillId="11" borderId="44" xfId="0" applyFont="1" applyFill="1" applyBorder="1" applyAlignment="1">
      <alignment horizontal="center" vertical="center" wrapText="1"/>
    </xf>
    <xf numFmtId="0" fontId="38" fillId="9" borderId="45" xfId="0" applyFont="1" applyFill="1" applyBorder="1"/>
    <xf numFmtId="0" fontId="38" fillId="9" borderId="46" xfId="0" applyFont="1" applyFill="1" applyBorder="1"/>
    <xf numFmtId="0" fontId="41" fillId="15" borderId="13" xfId="0" applyFont="1" applyFill="1" applyBorder="1" applyAlignment="1">
      <alignment vertical="center"/>
    </xf>
    <xf numFmtId="0" fontId="40" fillId="11" borderId="47" xfId="0" applyFont="1" applyFill="1" applyBorder="1" applyAlignment="1">
      <alignment horizontal="center" vertical="center" wrapText="1"/>
    </xf>
    <xf numFmtId="0" fontId="38" fillId="9" borderId="48" xfId="0" applyFont="1" applyFill="1" applyBorder="1"/>
    <xf numFmtId="0" fontId="40" fillId="11" borderId="49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9" fontId="0" fillId="0" borderId="0" xfId="1" applyFont="1"/>
    <xf numFmtId="1" fontId="28" fillId="6" borderId="0" xfId="0" applyNumberFormat="1" applyFont="1" applyFill="1" applyAlignment="1" applyProtection="1">
      <alignment vertical="center" wrapText="1"/>
      <protection hidden="1"/>
    </xf>
    <xf numFmtId="0" fontId="22" fillId="6" borderId="0" xfId="0" applyFont="1" applyFill="1" applyAlignment="1">
      <alignment vertical="center" wrapText="1"/>
    </xf>
    <xf numFmtId="0" fontId="23" fillId="2" borderId="0" xfId="0" applyFont="1" applyFill="1" applyAlignment="1" applyProtection="1">
      <alignment vertical="center"/>
      <protection hidden="1"/>
    </xf>
    <xf numFmtId="0" fontId="25" fillId="6" borderId="0" xfId="0" applyFont="1" applyFill="1" applyAlignment="1">
      <alignment vertical="center"/>
    </xf>
    <xf numFmtId="0" fontId="7" fillId="6" borderId="0" xfId="0" applyFont="1" applyFill="1" applyAlignment="1" applyProtection="1">
      <alignment horizontal="left" vertical="center"/>
      <protection hidden="1"/>
    </xf>
    <xf numFmtId="0" fontId="45" fillId="15" borderId="50" xfId="0" applyFont="1" applyFill="1" applyBorder="1"/>
    <xf numFmtId="0" fontId="37" fillId="15" borderId="51" xfId="0" applyFont="1" applyFill="1" applyBorder="1" applyAlignment="1">
      <alignment vertical="center" wrapText="1"/>
    </xf>
    <xf numFmtId="0" fontId="46" fillId="15" borderId="51" xfId="0" applyFont="1" applyFill="1" applyBorder="1"/>
    <xf numFmtId="0" fontId="46" fillId="15" borderId="52" xfId="0" applyFont="1" applyFill="1" applyBorder="1"/>
    <xf numFmtId="0" fontId="46" fillId="15" borderId="53" xfId="0" applyFont="1" applyFill="1" applyBorder="1"/>
    <xf numFmtId="0" fontId="47" fillId="15" borderId="52" xfId="0" applyFont="1" applyFill="1" applyBorder="1"/>
    <xf numFmtId="0" fontId="47" fillId="15" borderId="51" xfId="0" applyFont="1" applyFill="1" applyBorder="1"/>
    <xf numFmtId="0" fontId="47" fillId="15" borderId="53" xfId="0" applyFont="1" applyFill="1" applyBorder="1"/>
    <xf numFmtId="166" fontId="36" fillId="0" borderId="0" xfId="0" applyNumberFormat="1" applyFont="1"/>
    <xf numFmtId="0" fontId="11" fillId="0" borderId="0" xfId="0" applyFont="1" applyAlignment="1">
      <alignment horizontal="right"/>
    </xf>
    <xf numFmtId="0" fontId="53" fillId="6" borderId="0" xfId="0" applyFont="1" applyFill="1" applyAlignment="1">
      <alignment wrapText="1"/>
    </xf>
    <xf numFmtId="49" fontId="54" fillId="3" borderId="10" xfId="0" applyNumberFormat="1" applyFont="1" applyFill="1" applyBorder="1" applyAlignment="1">
      <alignment vertical="center" wrapText="1"/>
    </xf>
    <xf numFmtId="1" fontId="54" fillId="3" borderId="11" xfId="0" applyNumberFormat="1" applyFont="1" applyFill="1" applyBorder="1" applyAlignment="1" applyProtection="1">
      <alignment vertical="center"/>
      <protection hidden="1"/>
    </xf>
    <xf numFmtId="1" fontId="55" fillId="3" borderId="11" xfId="0" applyNumberFormat="1" applyFont="1" applyFill="1" applyBorder="1" applyAlignment="1">
      <alignment wrapText="1"/>
    </xf>
    <xf numFmtId="0" fontId="56" fillId="6" borderId="0" xfId="0" applyFont="1" applyFill="1" applyAlignment="1" applyProtection="1">
      <alignment vertical="center" wrapText="1"/>
      <protection hidden="1"/>
    </xf>
    <xf numFmtId="49" fontId="43" fillId="7" borderId="32" xfId="0" applyNumberFormat="1" applyFont="1" applyFill="1" applyBorder="1" applyAlignment="1">
      <alignment vertical="center" wrapText="1"/>
    </xf>
    <xf numFmtId="0" fontId="43" fillId="7" borderId="7" xfId="0" applyFont="1" applyFill="1" applyBorder="1" applyAlignment="1" applyProtection="1">
      <alignment vertical="center" wrapText="1"/>
      <protection hidden="1"/>
    </xf>
    <xf numFmtId="9" fontId="53" fillId="8" borderId="7" xfId="0" applyNumberFormat="1" applyFont="1" applyFill="1" applyBorder="1" applyAlignment="1" applyProtection="1">
      <alignment horizontal="left" vertical="center" wrapText="1"/>
      <protection locked="0" hidden="1"/>
    </xf>
    <xf numFmtId="0" fontId="43" fillId="0" borderId="2" xfId="0" applyFont="1" applyBorder="1" applyAlignment="1">
      <alignment vertical="center" wrapText="1"/>
    </xf>
    <xf numFmtId="0" fontId="53" fillId="0" borderId="0" xfId="0" applyFont="1" applyAlignment="1">
      <alignment wrapText="1"/>
    </xf>
    <xf numFmtId="3" fontId="53" fillId="8" borderId="7" xfId="0" applyNumberFormat="1" applyFont="1" applyFill="1" applyBorder="1" applyAlignment="1" applyProtection="1">
      <alignment horizontal="left" vertical="center" wrapText="1"/>
      <protection locked="0" hidden="1"/>
    </xf>
    <xf numFmtId="0" fontId="53" fillId="6" borderId="0" xfId="0" applyFont="1" applyFill="1" applyAlignment="1">
      <alignment vertical="center" wrapText="1"/>
    </xf>
    <xf numFmtId="0" fontId="53" fillId="6" borderId="0" xfId="0" applyFont="1" applyFill="1" applyAlignment="1" applyProtection="1">
      <alignment wrapText="1"/>
      <protection hidden="1"/>
    </xf>
    <xf numFmtId="0" fontId="9" fillId="6" borderId="0" xfId="0" applyFont="1" applyFill="1" applyAlignment="1">
      <alignment vertical="center"/>
    </xf>
    <xf numFmtId="0" fontId="43" fillId="6" borderId="0" xfId="0" applyFont="1" applyFill="1" applyAlignment="1" applyProtection="1">
      <alignment wrapText="1"/>
      <protection hidden="1"/>
    </xf>
    <xf numFmtId="0" fontId="57" fillId="6" borderId="0" xfId="0" applyFont="1" applyFill="1" applyAlignment="1">
      <alignment wrapText="1"/>
    </xf>
    <xf numFmtId="0" fontId="57" fillId="6" borderId="0" xfId="0" quotePrefix="1" applyFont="1" applyFill="1" applyAlignment="1">
      <alignment vertical="center" wrapText="1"/>
    </xf>
    <xf numFmtId="0" fontId="57" fillId="6" borderId="0" xfId="0" applyFont="1" applyFill="1" applyAlignment="1" applyProtection="1">
      <alignment vertical="center" wrapText="1"/>
      <protection hidden="1"/>
    </xf>
    <xf numFmtId="0" fontId="58" fillId="6" borderId="0" xfId="0" applyFont="1" applyFill="1" applyAlignment="1">
      <alignment vertical="center"/>
    </xf>
    <xf numFmtId="0" fontId="0" fillId="0" borderId="0" xfId="0" applyProtection="1">
      <protection hidden="1"/>
    </xf>
    <xf numFmtId="0" fontId="61" fillId="6" borderId="23" xfId="5" applyFont="1" applyFill="1" applyBorder="1" applyAlignment="1" applyProtection="1">
      <alignment vertical="center"/>
      <protection hidden="1"/>
    </xf>
    <xf numFmtId="1" fontId="15" fillId="6" borderId="20" xfId="0" applyNumberFormat="1" applyFont="1" applyFill="1" applyBorder="1" applyProtection="1">
      <protection hidden="1"/>
    </xf>
    <xf numFmtId="0" fontId="0" fillId="6" borderId="24" xfId="0" applyFill="1" applyBorder="1" applyProtection="1">
      <protection hidden="1"/>
    </xf>
    <xf numFmtId="1" fontId="15" fillId="6" borderId="0" xfId="0" applyNumberFormat="1" applyFont="1" applyFill="1" applyProtection="1">
      <protection hidden="1"/>
    </xf>
    <xf numFmtId="1" fontId="4" fillId="16" borderId="18" xfId="0" applyNumberFormat="1" applyFont="1" applyFill="1" applyBorder="1" applyAlignment="1" applyProtection="1">
      <alignment horizontal="center" vertical="center"/>
      <protection hidden="1"/>
    </xf>
    <xf numFmtId="1" fontId="4" fillId="16" borderId="18" xfId="0" applyNumberFormat="1" applyFont="1" applyFill="1" applyBorder="1" applyAlignment="1" applyProtection="1">
      <alignment horizontal="center" vertical="center" wrapText="1"/>
      <protection hidden="1"/>
    </xf>
    <xf numFmtId="0" fontId="7" fillId="6" borderId="18" xfId="0" applyFont="1" applyFill="1" applyBorder="1" applyAlignment="1" applyProtection="1">
      <alignment horizontal="center" vertical="center"/>
      <protection locked="0" hidden="1"/>
    </xf>
    <xf numFmtId="0" fontId="7" fillId="0" borderId="18" xfId="0" applyFont="1" applyBorder="1" applyAlignment="1" applyProtection="1">
      <alignment horizontal="center" vertical="center"/>
      <protection locked="0" hidden="1"/>
    </xf>
    <xf numFmtId="0" fontId="7" fillId="6" borderId="35" xfId="0" applyFont="1" applyFill="1" applyBorder="1" applyAlignment="1" applyProtection="1">
      <alignment horizontal="center" vertical="center"/>
      <protection locked="0" hidden="1"/>
    </xf>
    <xf numFmtId="1" fontId="62" fillId="6" borderId="0" xfId="0" applyNumberFormat="1" applyFont="1" applyFill="1" applyAlignment="1" applyProtection="1">
      <alignment horizontal="left" vertical="center" wrapText="1"/>
      <protection hidden="1"/>
    </xf>
    <xf numFmtId="1" fontId="63" fillId="16" borderId="18" xfId="0" applyNumberFormat="1" applyFont="1" applyFill="1" applyBorder="1" applyAlignment="1" applyProtection="1">
      <alignment horizontal="center" vertical="top"/>
      <protection hidden="1"/>
    </xf>
    <xf numFmtId="3" fontId="7" fillId="6" borderId="18" xfId="0" applyNumberFormat="1" applyFont="1" applyFill="1" applyBorder="1" applyAlignment="1" applyProtection="1">
      <alignment horizontal="right" vertical="center" indent="2"/>
      <protection hidden="1"/>
    </xf>
    <xf numFmtId="1" fontId="63" fillId="16" borderId="34" xfId="0" applyNumberFormat="1" applyFont="1" applyFill="1" applyBorder="1" applyAlignment="1" applyProtection="1">
      <alignment horizontal="center" vertical="top"/>
      <protection hidden="1"/>
    </xf>
    <xf numFmtId="1" fontId="63" fillId="16" borderId="66" xfId="0" applyNumberFormat="1" applyFont="1" applyFill="1" applyBorder="1" applyAlignment="1" applyProtection="1">
      <alignment horizontal="center" vertical="top"/>
      <protection hidden="1"/>
    </xf>
    <xf numFmtId="3" fontId="7" fillId="6" borderId="18" xfId="1" applyNumberFormat="1" applyFont="1" applyFill="1" applyBorder="1" applyAlignment="1" applyProtection="1">
      <alignment horizontal="right" vertical="center" indent="1"/>
      <protection hidden="1"/>
    </xf>
    <xf numFmtId="2" fontId="7" fillId="6" borderId="18" xfId="1" applyNumberFormat="1" applyFont="1" applyFill="1" applyBorder="1" applyAlignment="1" applyProtection="1">
      <alignment horizontal="right" vertical="center" indent="1"/>
      <protection hidden="1"/>
    </xf>
    <xf numFmtId="49" fontId="63" fillId="6" borderId="0" xfId="0" applyNumberFormat="1" applyFont="1" applyFill="1" applyAlignment="1" applyProtection="1">
      <alignment horizontal="center" vertical="center" wrapText="1"/>
      <protection hidden="1"/>
    </xf>
    <xf numFmtId="3" fontId="29" fillId="6" borderId="0" xfId="1" applyNumberFormat="1" applyFont="1" applyFill="1" applyBorder="1" applyAlignment="1" applyProtection="1">
      <alignment horizontal="right"/>
      <protection hidden="1"/>
    </xf>
    <xf numFmtId="1" fontId="16" fillId="16" borderId="18" xfId="0" applyNumberFormat="1" applyFont="1" applyFill="1" applyBorder="1" applyAlignment="1" applyProtection="1">
      <alignment vertical="top"/>
      <protection hidden="1"/>
    </xf>
    <xf numFmtId="1" fontId="64" fillId="6" borderId="0" xfId="0" applyNumberFormat="1" applyFont="1" applyFill="1" applyAlignment="1" applyProtection="1">
      <alignment horizontal="left" vertical="center" wrapText="1"/>
      <protection hidden="1"/>
    </xf>
    <xf numFmtId="0" fontId="52" fillId="6" borderId="0" xfId="0" applyFont="1" applyFill="1" applyAlignment="1" applyProtection="1">
      <alignment vertical="center" wrapText="1"/>
      <protection hidden="1"/>
    </xf>
    <xf numFmtId="0" fontId="62" fillId="6" borderId="0" xfId="1" applyNumberFormat="1" applyFont="1" applyFill="1" applyBorder="1" applyAlignment="1" applyProtection="1">
      <alignment horizontal="left" vertical="center" wrapText="1"/>
      <protection hidden="1"/>
    </xf>
    <xf numFmtId="3" fontId="7" fillId="6" borderId="33" xfId="1" applyNumberFormat="1" applyFont="1" applyFill="1" applyBorder="1" applyAlignment="1" applyProtection="1">
      <alignment horizontal="right" vertical="center" wrapText="1"/>
      <protection hidden="1"/>
    </xf>
    <xf numFmtId="3" fontId="7" fillId="6" borderId="66" xfId="1" applyNumberFormat="1" applyFont="1" applyFill="1" applyBorder="1" applyAlignment="1" applyProtection="1">
      <alignment vertical="center" wrapText="1"/>
      <protection hidden="1"/>
    </xf>
    <xf numFmtId="3" fontId="7" fillId="6" borderId="33" xfId="1" applyNumberFormat="1" applyFont="1" applyFill="1" applyBorder="1" applyAlignment="1" applyProtection="1">
      <alignment vertical="center" wrapText="1"/>
      <protection hidden="1"/>
    </xf>
    <xf numFmtId="170" fontId="7" fillId="6" borderId="33" xfId="1" applyNumberFormat="1" applyFont="1" applyFill="1" applyBorder="1" applyAlignment="1" applyProtection="1">
      <alignment vertical="center" wrapText="1"/>
      <protection hidden="1"/>
    </xf>
    <xf numFmtId="171" fontId="7" fillId="6" borderId="66" xfId="1" applyNumberFormat="1" applyFont="1" applyFill="1" applyBorder="1" applyAlignment="1" applyProtection="1">
      <alignment horizontal="left" vertical="center" wrapText="1"/>
      <protection hidden="1"/>
    </xf>
    <xf numFmtId="0" fontId="52" fillId="6" borderId="0" xfId="1" applyNumberFormat="1" applyFont="1" applyFill="1" applyBorder="1" applyAlignment="1" applyProtection="1">
      <alignment vertical="center" wrapText="1"/>
      <protection hidden="1"/>
    </xf>
    <xf numFmtId="0" fontId="0" fillId="6" borderId="0" xfId="0" applyFill="1" applyAlignment="1" applyProtection="1">
      <alignment horizontal="right"/>
      <protection hidden="1"/>
    </xf>
    <xf numFmtId="14" fontId="0" fillId="6" borderId="0" xfId="0" applyNumberFormat="1" applyFill="1" applyAlignment="1" applyProtection="1">
      <alignment horizontal="center"/>
      <protection hidden="1"/>
    </xf>
    <xf numFmtId="0" fontId="21" fillId="0" borderId="0" xfId="0" applyFont="1" applyAlignment="1">
      <alignment horizontal="center" wrapText="1"/>
    </xf>
    <xf numFmtId="164" fontId="0" fillId="0" borderId="0" xfId="0" applyNumberFormat="1"/>
    <xf numFmtId="10" fontId="0" fillId="0" borderId="0" xfId="0" applyNumberFormat="1"/>
    <xf numFmtId="0" fontId="21" fillId="0" borderId="0" xfId="0" applyFont="1" applyAlignment="1">
      <alignment horizontal="center" vertical="center" wrapText="1"/>
    </xf>
    <xf numFmtId="0" fontId="66" fillId="0" borderId="0" xfId="0" applyFont="1"/>
    <xf numFmtId="0" fontId="21" fillId="14" borderId="0" xfId="0" applyFont="1" applyFill="1" applyAlignment="1">
      <alignment horizontal="center" vertical="top" wrapText="1"/>
    </xf>
    <xf numFmtId="166" fontId="0" fillId="0" borderId="0" xfId="0" applyNumberFormat="1"/>
    <xf numFmtId="0" fontId="59" fillId="9" borderId="0" xfId="4" applyFill="1" applyBorder="1"/>
    <xf numFmtId="3" fontId="59" fillId="9" borderId="0" xfId="4" applyNumberFormat="1" applyFill="1" applyBorder="1"/>
    <xf numFmtId="167" fontId="59" fillId="9" borderId="0" xfId="4" applyNumberFormat="1" applyFill="1" applyBorder="1"/>
    <xf numFmtId="164" fontId="21" fillId="0" borderId="0" xfId="0" applyNumberFormat="1" applyFont="1"/>
    <xf numFmtId="3" fontId="21" fillId="0" borderId="0" xfId="0" applyNumberFormat="1" applyFont="1"/>
    <xf numFmtId="170" fontId="21" fillId="0" borderId="0" xfId="0" applyNumberFormat="1" applyFont="1"/>
    <xf numFmtId="0" fontId="21" fillId="9" borderId="0" xfId="0" applyFont="1" applyFill="1"/>
    <xf numFmtId="3" fontId="21" fillId="9" borderId="0" xfId="0" applyNumberFormat="1" applyFont="1" applyFill="1"/>
    <xf numFmtId="0" fontId="2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Protection="1">
      <protection locked="0"/>
    </xf>
    <xf numFmtId="1" fontId="4" fillId="6" borderId="0" xfId="0" applyNumberFormat="1" applyFont="1" applyFill="1" applyAlignment="1" applyProtection="1">
      <alignment horizontal="center" vertical="center" wrapText="1"/>
      <protection hidden="1"/>
    </xf>
    <xf numFmtId="0" fontId="23" fillId="6" borderId="0" xfId="0" applyFont="1" applyFill="1" applyAlignment="1" applyProtection="1">
      <alignment vertical="center"/>
      <protection hidden="1"/>
    </xf>
    <xf numFmtId="0" fontId="0" fillId="6" borderId="2" xfId="0" applyFill="1" applyBorder="1" applyAlignment="1">
      <alignment vertical="center" wrapText="1"/>
    </xf>
    <xf numFmtId="0" fontId="7" fillId="6" borderId="2" xfId="0" applyFont="1" applyFill="1" applyBorder="1" applyAlignment="1">
      <alignment vertical="center" wrapText="1"/>
    </xf>
    <xf numFmtId="2" fontId="7" fillId="6" borderId="4" xfId="0" applyNumberFormat="1" applyFont="1" applyFill="1" applyBorder="1" applyAlignment="1" applyProtection="1">
      <alignment vertical="center"/>
      <protection hidden="1"/>
    </xf>
    <xf numFmtId="0" fontId="7" fillId="6" borderId="4" xfId="0" applyFont="1" applyFill="1" applyBorder="1" applyAlignment="1" applyProtection="1">
      <alignment vertical="center"/>
      <protection hidden="1"/>
    </xf>
    <xf numFmtId="1" fontId="28" fillId="6" borderId="8" xfId="0" applyNumberFormat="1" applyFont="1" applyFill="1" applyBorder="1" applyAlignment="1" applyProtection="1">
      <alignment vertical="center" wrapText="1"/>
      <protection hidden="1"/>
    </xf>
    <xf numFmtId="1" fontId="43" fillId="6" borderId="0" xfId="0" applyNumberFormat="1" applyFont="1" applyFill="1" applyAlignment="1">
      <alignment vertical="center" wrapText="1"/>
    </xf>
    <xf numFmtId="1" fontId="54" fillId="16" borderId="30" xfId="0" applyNumberFormat="1" applyFont="1" applyFill="1" applyBorder="1" applyAlignment="1" applyProtection="1">
      <alignment vertical="center"/>
      <protection hidden="1"/>
    </xf>
    <xf numFmtId="1" fontId="54" fillId="17" borderId="30" xfId="0" applyNumberFormat="1" applyFont="1" applyFill="1" applyBorder="1" applyAlignment="1" applyProtection="1">
      <alignment vertical="center"/>
      <protection hidden="1"/>
    </xf>
    <xf numFmtId="1" fontId="54" fillId="17" borderId="5" xfId="0" applyNumberFormat="1" applyFont="1" applyFill="1" applyBorder="1" applyAlignment="1" applyProtection="1">
      <alignment vertical="center"/>
      <protection hidden="1"/>
    </xf>
    <xf numFmtId="1" fontId="54" fillId="17" borderId="5" xfId="0" applyNumberFormat="1" applyFont="1" applyFill="1" applyBorder="1" applyAlignment="1" applyProtection="1">
      <alignment horizontal="left" vertical="top"/>
      <protection hidden="1"/>
    </xf>
    <xf numFmtId="0" fontId="53" fillId="6" borderId="0" xfId="0" applyFont="1" applyFill="1" applyProtection="1">
      <protection hidden="1"/>
    </xf>
    <xf numFmtId="0" fontId="43" fillId="7" borderId="8" xfId="0" applyFont="1" applyFill="1" applyBorder="1" applyAlignment="1" applyProtection="1">
      <alignment vertical="center" wrapText="1"/>
      <protection hidden="1"/>
    </xf>
    <xf numFmtId="0" fontId="43" fillId="7" borderId="2" xfId="0" applyFont="1" applyFill="1" applyBorder="1" applyAlignment="1" applyProtection="1">
      <alignment horizontal="left" vertical="center" wrapText="1"/>
      <protection hidden="1"/>
    </xf>
    <xf numFmtId="44" fontId="53" fillId="8" borderId="2" xfId="3" applyFont="1" applyFill="1" applyBorder="1" applyAlignment="1" applyProtection="1">
      <alignment vertical="center"/>
      <protection locked="0"/>
    </xf>
    <xf numFmtId="0" fontId="53" fillId="2" borderId="0" xfId="0" applyFont="1" applyFill="1" applyProtection="1">
      <protection hidden="1"/>
    </xf>
    <xf numFmtId="0" fontId="53" fillId="2" borderId="17" xfId="0" applyFont="1" applyFill="1" applyBorder="1" applyProtection="1">
      <protection hidden="1"/>
    </xf>
    <xf numFmtId="7" fontId="53" fillId="8" borderId="2" xfId="3" applyNumberFormat="1" applyFont="1" applyFill="1" applyBorder="1" applyAlignment="1" applyProtection="1">
      <alignment vertical="center"/>
      <protection locked="0"/>
    </xf>
    <xf numFmtId="0" fontId="53" fillId="6" borderId="0" xfId="0" applyFont="1" applyFill="1" applyAlignment="1" applyProtection="1">
      <alignment vertical="center"/>
      <protection hidden="1"/>
    </xf>
    <xf numFmtId="0" fontId="72" fillId="6" borderId="0" xfId="2" applyFont="1" applyFill="1" applyAlignment="1" applyProtection="1">
      <alignment vertical="center"/>
      <protection hidden="1"/>
    </xf>
    <xf numFmtId="3" fontId="43" fillId="6" borderId="60" xfId="0" applyNumberFormat="1" applyFont="1" applyFill="1" applyBorder="1" applyAlignment="1" applyProtection="1">
      <alignment horizontal="right" vertical="center" wrapText="1"/>
      <protection hidden="1"/>
    </xf>
    <xf numFmtId="3" fontId="43" fillId="6" borderId="59" xfId="0" applyNumberFormat="1" applyFont="1" applyFill="1" applyBorder="1" applyAlignment="1" applyProtection="1">
      <alignment horizontal="right" vertical="center" wrapText="1"/>
      <protection hidden="1"/>
    </xf>
    <xf numFmtId="3" fontId="43" fillId="6" borderId="2" xfId="0" applyNumberFormat="1" applyFont="1" applyFill="1" applyBorder="1" applyAlignment="1" applyProtection="1">
      <alignment horizontal="right" vertical="center" wrapText="1"/>
      <protection hidden="1"/>
    </xf>
    <xf numFmtId="3" fontId="43" fillId="0" borderId="59" xfId="0" applyNumberFormat="1" applyFont="1" applyBorder="1" applyAlignment="1" applyProtection="1">
      <alignment horizontal="right" vertical="center" wrapText="1"/>
      <protection hidden="1"/>
    </xf>
    <xf numFmtId="3" fontId="43" fillId="0" borderId="2" xfId="0" applyNumberFormat="1" applyFont="1" applyBorder="1" applyAlignment="1" applyProtection="1">
      <alignment horizontal="right" vertical="center" wrapText="1"/>
      <protection hidden="1"/>
    </xf>
    <xf numFmtId="3" fontId="43" fillId="0" borderId="60" xfId="0" applyNumberFormat="1" applyFont="1" applyBorder="1" applyAlignment="1" applyProtection="1">
      <alignment horizontal="right" vertical="center" wrapText="1"/>
      <protection hidden="1"/>
    </xf>
    <xf numFmtId="1" fontId="54" fillId="17" borderId="4" xfId="0" applyNumberFormat="1" applyFont="1" applyFill="1" applyBorder="1" applyAlignment="1" applyProtection="1">
      <alignment vertical="center"/>
      <protection hidden="1"/>
    </xf>
    <xf numFmtId="49" fontId="54" fillId="17" borderId="4" xfId="0" applyNumberFormat="1" applyFont="1" applyFill="1" applyBorder="1" applyAlignment="1" applyProtection="1">
      <alignment horizontal="center" vertical="center" wrapText="1"/>
      <protection hidden="1"/>
    </xf>
    <xf numFmtId="3" fontId="43" fillId="0" borderId="8" xfId="0" applyNumberFormat="1" applyFont="1" applyBorder="1" applyAlignment="1" applyProtection="1">
      <alignment horizontal="right" vertical="center" wrapText="1"/>
      <protection hidden="1"/>
    </xf>
    <xf numFmtId="1" fontId="54" fillId="17" borderId="4" xfId="0" applyNumberFormat="1" applyFont="1" applyFill="1" applyBorder="1" applyAlignment="1" applyProtection="1">
      <alignment horizontal="left" vertical="center" wrapText="1"/>
      <protection hidden="1"/>
    </xf>
    <xf numFmtId="3" fontId="73" fillId="7" borderId="4" xfId="0" applyNumberFormat="1" applyFont="1" applyFill="1" applyBorder="1" applyAlignment="1" applyProtection="1">
      <alignment horizontal="right" vertical="center" wrapText="1"/>
      <protection hidden="1"/>
    </xf>
    <xf numFmtId="3" fontId="43" fillId="0" borderId="32" xfId="0" applyNumberFormat="1" applyFont="1" applyBorder="1" applyAlignment="1" applyProtection="1">
      <alignment horizontal="right" vertical="center" wrapText="1"/>
      <protection hidden="1"/>
    </xf>
    <xf numFmtId="3" fontId="43" fillId="0" borderId="9" xfId="0" applyNumberFormat="1" applyFont="1" applyBorder="1" applyAlignment="1" applyProtection="1">
      <alignment horizontal="right" vertical="center" wrapText="1"/>
      <protection hidden="1"/>
    </xf>
    <xf numFmtId="3" fontId="74" fillId="0" borderId="4" xfId="0" applyNumberFormat="1" applyFont="1" applyBorder="1" applyAlignment="1" applyProtection="1">
      <alignment vertical="center" wrapText="1"/>
      <protection hidden="1"/>
    </xf>
    <xf numFmtId="3" fontId="43" fillId="0" borderId="61" xfId="0" applyNumberFormat="1" applyFont="1" applyBorder="1" applyAlignment="1" applyProtection="1">
      <alignment horizontal="right" vertical="center" wrapText="1"/>
      <protection hidden="1"/>
    </xf>
    <xf numFmtId="3" fontId="74" fillId="0" borderId="6" xfId="0" applyNumberFormat="1" applyFont="1" applyBorder="1" applyAlignment="1" applyProtection="1">
      <alignment vertical="center" wrapText="1"/>
      <protection hidden="1"/>
    </xf>
    <xf numFmtId="3" fontId="43" fillId="0" borderId="62" xfId="0" applyNumberFormat="1" applyFont="1" applyBorder="1" applyAlignment="1" applyProtection="1">
      <alignment horizontal="right" vertical="center" wrapText="1"/>
      <protection hidden="1"/>
    </xf>
    <xf numFmtId="3" fontId="43" fillId="0" borderId="4" xfId="0" applyNumberFormat="1" applyFont="1" applyBorder="1" applyAlignment="1" applyProtection="1">
      <alignment horizontal="right" vertical="center" wrapText="1"/>
      <protection hidden="1"/>
    </xf>
    <xf numFmtId="3" fontId="43" fillId="0" borderId="26" xfId="0" applyNumberFormat="1" applyFont="1" applyBorder="1" applyAlignment="1" applyProtection="1">
      <alignment horizontal="right" vertical="center" wrapText="1"/>
      <protection hidden="1"/>
    </xf>
    <xf numFmtId="3" fontId="43" fillId="0" borderId="25" xfId="0" applyNumberFormat="1" applyFont="1" applyBorder="1" applyAlignment="1" applyProtection="1">
      <alignment horizontal="right" vertical="center" wrapText="1"/>
      <protection hidden="1"/>
    </xf>
    <xf numFmtId="3" fontId="43" fillId="0" borderId="63" xfId="0" applyNumberFormat="1" applyFont="1" applyBorder="1" applyAlignment="1" applyProtection="1">
      <alignment horizontal="right" vertical="center" wrapText="1"/>
      <protection hidden="1"/>
    </xf>
    <xf numFmtId="1" fontId="54" fillId="2" borderId="0" xfId="0" applyNumberFormat="1" applyFont="1" applyFill="1" applyAlignment="1" applyProtection="1">
      <alignment horizontal="center" vertical="center" wrapText="1"/>
      <protection hidden="1"/>
    </xf>
    <xf numFmtId="9" fontId="23" fillId="2" borderId="0" xfId="1" applyFont="1" applyFill="1" applyBorder="1" applyAlignment="1" applyProtection="1">
      <alignment horizontal="right" vertical="center" wrapText="1"/>
      <protection hidden="1"/>
    </xf>
    <xf numFmtId="3" fontId="43" fillId="2" borderId="59" xfId="0" applyNumberFormat="1" applyFont="1" applyFill="1" applyBorder="1" applyAlignment="1" applyProtection="1">
      <alignment horizontal="right" vertical="center" wrapText="1"/>
      <protection hidden="1"/>
    </xf>
    <xf numFmtId="3" fontId="43" fillId="2" borderId="2" xfId="0" applyNumberFormat="1" applyFont="1" applyFill="1" applyBorder="1" applyAlignment="1" applyProtection="1">
      <alignment horizontal="right" vertical="center" wrapText="1"/>
      <protection hidden="1"/>
    </xf>
    <xf numFmtId="3" fontId="43" fillId="2" borderId="60" xfId="0" applyNumberFormat="1" applyFont="1" applyFill="1" applyBorder="1" applyAlignment="1" applyProtection="1">
      <alignment horizontal="right" vertical="center" wrapText="1"/>
      <protection hidden="1"/>
    </xf>
    <xf numFmtId="3" fontId="43" fillId="2" borderId="0" xfId="0" applyNumberFormat="1" applyFont="1" applyFill="1" applyAlignment="1" applyProtection="1">
      <alignment horizontal="right" vertical="center"/>
      <protection hidden="1"/>
    </xf>
    <xf numFmtId="3" fontId="43" fillId="2" borderId="0" xfId="0" applyNumberFormat="1" applyFont="1" applyFill="1" applyAlignment="1" applyProtection="1">
      <alignment horizontal="right" vertical="center" wrapText="1"/>
      <protection hidden="1"/>
    </xf>
    <xf numFmtId="1" fontId="54" fillId="17" borderId="54" xfId="0" applyNumberFormat="1" applyFont="1" applyFill="1" applyBorder="1" applyAlignment="1" applyProtection="1">
      <alignment horizontal="left" vertical="center" wrapText="1"/>
      <protection hidden="1"/>
    </xf>
    <xf numFmtId="1" fontId="23" fillId="7" borderId="57" xfId="0" applyNumberFormat="1" applyFont="1" applyFill="1" applyBorder="1" applyAlignment="1" applyProtection="1">
      <alignment horizontal="left" vertical="center" wrapText="1"/>
      <protection hidden="1"/>
    </xf>
    <xf numFmtId="1" fontId="23" fillId="7" borderId="12" xfId="0" applyNumberFormat="1" applyFont="1" applyFill="1" applyBorder="1" applyAlignment="1" applyProtection="1">
      <alignment horizontal="left" vertical="center" wrapText="1"/>
      <protection hidden="1"/>
    </xf>
    <xf numFmtId="0" fontId="19" fillId="0" borderId="0" xfId="0" applyFont="1"/>
    <xf numFmtId="0" fontId="0" fillId="0" borderId="0" xfId="0" quotePrefix="1"/>
    <xf numFmtId="0" fontId="7" fillId="0" borderId="0" xfId="0" applyFont="1" applyProtection="1">
      <protection locked="0" hidden="1"/>
    </xf>
    <xf numFmtId="0" fontId="7" fillId="0" borderId="0" xfId="0" applyFont="1" applyAlignment="1" applyProtection="1">
      <alignment horizontal="left"/>
      <protection locked="0" hidden="1"/>
    </xf>
    <xf numFmtId="165" fontId="0" fillId="0" borderId="0" xfId="0" applyNumberFormat="1"/>
    <xf numFmtId="0" fontId="55" fillId="0" borderId="0" xfId="0" applyFont="1" applyProtection="1">
      <protection locked="0" hidden="1"/>
    </xf>
    <xf numFmtId="0" fontId="23" fillId="0" borderId="0" xfId="0" applyFont="1"/>
    <xf numFmtId="0" fontId="0" fillId="13" borderId="0" xfId="0" applyFill="1" applyAlignment="1">
      <alignment horizontal="left"/>
    </xf>
    <xf numFmtId="49" fontId="17" fillId="6" borderId="0" xfId="0" applyNumberFormat="1" applyFont="1" applyFill="1" applyAlignment="1" applyProtection="1">
      <alignment vertical="center" wrapText="1"/>
      <protection hidden="1"/>
    </xf>
    <xf numFmtId="0" fontId="8" fillId="6" borderId="0" xfId="0" applyFont="1" applyFill="1" applyAlignment="1">
      <alignment vertical="center" wrapText="1"/>
    </xf>
    <xf numFmtId="0" fontId="6" fillId="2" borderId="0" xfId="0" applyFont="1" applyFill="1" applyAlignment="1" applyProtection="1">
      <alignment vertical="center"/>
      <protection hidden="1"/>
    </xf>
    <xf numFmtId="0" fontId="16" fillId="12" borderId="7" xfId="0" applyFont="1" applyFill="1" applyBorder="1" applyAlignment="1" applyProtection="1">
      <alignment vertical="center"/>
      <protection hidden="1"/>
    </xf>
    <xf numFmtId="0" fontId="16" fillId="12" borderId="1" xfId="0" applyFont="1" applyFill="1" applyBorder="1" applyAlignment="1" applyProtection="1">
      <alignment vertical="center"/>
      <protection hidden="1"/>
    </xf>
    <xf numFmtId="1" fontId="24" fillId="9" borderId="7" xfId="0" applyNumberFormat="1" applyFont="1" applyFill="1" applyBorder="1" applyAlignment="1" applyProtection="1">
      <alignment vertical="center"/>
      <protection hidden="1"/>
    </xf>
    <xf numFmtId="1" fontId="24" fillId="9" borderId="1" xfId="0" applyNumberFormat="1" applyFont="1" applyFill="1" applyBorder="1" applyAlignment="1" applyProtection="1">
      <alignment vertical="center"/>
      <protection hidden="1"/>
    </xf>
    <xf numFmtId="1" fontId="24" fillId="9" borderId="8" xfId="0" applyNumberFormat="1" applyFont="1" applyFill="1" applyBorder="1" applyAlignment="1" applyProtection="1">
      <alignment vertical="center"/>
      <protection hidden="1"/>
    </xf>
    <xf numFmtId="0" fontId="18" fillId="10" borderId="7" xfId="0" applyFont="1" applyFill="1" applyBorder="1" applyAlignment="1" applyProtection="1">
      <alignment vertical="center"/>
      <protection hidden="1"/>
    </xf>
    <xf numFmtId="0" fontId="18" fillId="10" borderId="1" xfId="0" applyFont="1" applyFill="1" applyBorder="1" applyAlignment="1" applyProtection="1">
      <alignment vertical="center"/>
      <protection hidden="1"/>
    </xf>
    <xf numFmtId="0" fontId="18" fillId="10" borderId="8" xfId="0" applyFont="1" applyFill="1" applyBorder="1" applyAlignment="1" applyProtection="1">
      <alignment vertical="center"/>
      <protection hidden="1"/>
    </xf>
    <xf numFmtId="0" fontId="18" fillId="9" borderId="7" xfId="0" applyFont="1" applyFill="1" applyBorder="1" applyAlignment="1" applyProtection="1">
      <alignment vertical="center"/>
      <protection hidden="1"/>
    </xf>
    <xf numFmtId="0" fontId="18" fillId="9" borderId="1" xfId="0" applyFont="1" applyFill="1" applyBorder="1" applyAlignment="1" applyProtection="1">
      <alignment vertical="center"/>
      <protection hidden="1"/>
    </xf>
    <xf numFmtId="0" fontId="18" fillId="9" borderId="8" xfId="0" applyFont="1" applyFill="1" applyBorder="1" applyAlignment="1" applyProtection="1">
      <alignment vertical="center"/>
      <protection hidden="1"/>
    </xf>
    <xf numFmtId="1" fontId="4" fillId="3" borderId="8" xfId="0" applyNumberFormat="1" applyFont="1" applyFill="1" applyBorder="1" applyAlignment="1" applyProtection="1">
      <alignment vertical="center"/>
      <protection hidden="1"/>
    </xf>
    <xf numFmtId="1" fontId="4" fillId="3" borderId="7" xfId="0" applyNumberFormat="1" applyFont="1" applyFill="1" applyBorder="1" applyAlignment="1" applyProtection="1">
      <alignment vertical="center"/>
      <protection hidden="1"/>
    </xf>
    <xf numFmtId="1" fontId="62" fillId="6" borderId="0" xfId="0" applyNumberFormat="1" applyFont="1" applyFill="1" applyAlignment="1" applyProtection="1">
      <alignment vertical="center" wrapText="1"/>
      <protection hidden="1"/>
    </xf>
    <xf numFmtId="49" fontId="54" fillId="17" borderId="4" xfId="0" applyNumberFormat="1" applyFont="1" applyFill="1" applyBorder="1" applyAlignment="1" applyProtection="1">
      <alignment vertical="center" wrapText="1"/>
      <protection hidden="1"/>
    </xf>
    <xf numFmtId="49" fontId="54" fillId="6" borderId="0" xfId="0" applyNumberFormat="1" applyFont="1" applyFill="1" applyAlignment="1" applyProtection="1">
      <alignment horizontal="center" vertical="center" wrapText="1"/>
      <protection hidden="1"/>
    </xf>
    <xf numFmtId="0" fontId="54" fillId="6" borderId="0" xfId="0" applyFont="1" applyFill="1" applyAlignment="1" applyProtection="1">
      <alignment horizontal="center" vertical="center" wrapText="1"/>
      <protection hidden="1"/>
    </xf>
    <xf numFmtId="0" fontId="0" fillId="0" borderId="0" xfId="0" applyAlignment="1" applyProtection="1">
      <alignment vertical="center"/>
      <protection hidden="1"/>
    </xf>
    <xf numFmtId="0" fontId="0" fillId="9" borderId="0" xfId="0" applyFill="1" applyAlignment="1" applyProtection="1">
      <alignment vertical="center" wrapText="1"/>
      <protection hidden="1"/>
    </xf>
    <xf numFmtId="172" fontId="0" fillId="0" borderId="0" xfId="0" applyNumberFormat="1"/>
    <xf numFmtId="164" fontId="7" fillId="0" borderId="0" xfId="0" applyNumberFormat="1" applyFont="1" applyProtection="1">
      <protection locked="0" hidden="1"/>
    </xf>
    <xf numFmtId="0" fontId="7" fillId="6" borderId="13" xfId="0" applyFont="1" applyFill="1" applyBorder="1" applyAlignment="1">
      <alignment vertical="center"/>
    </xf>
    <xf numFmtId="7" fontId="0" fillId="2" borderId="0" xfId="0" applyNumberFormat="1" applyFill="1" applyAlignment="1" applyProtection="1">
      <alignment vertical="center"/>
      <protection hidden="1"/>
    </xf>
    <xf numFmtId="7" fontId="23" fillId="7" borderId="2" xfId="3" applyNumberFormat="1" applyFont="1" applyFill="1" applyBorder="1" applyAlignment="1" applyProtection="1">
      <alignment vertical="center" wrapText="1"/>
      <protection hidden="1"/>
    </xf>
    <xf numFmtId="168" fontId="0" fillId="0" borderId="0" xfId="0" applyNumberFormat="1"/>
    <xf numFmtId="1" fontId="84" fillId="16" borderId="57" xfId="0" applyNumberFormat="1" applyFont="1" applyFill="1" applyBorder="1" applyAlignment="1" applyProtection="1">
      <alignment horizontal="left" vertical="center" wrapText="1"/>
      <protection hidden="1"/>
    </xf>
    <xf numFmtId="0" fontId="43" fillId="10" borderId="11" xfId="0" applyFont="1" applyFill="1" applyBorder="1" applyAlignment="1" applyProtection="1">
      <alignment vertical="center"/>
      <protection hidden="1"/>
    </xf>
    <xf numFmtId="0" fontId="11" fillId="0" borderId="0" xfId="0" applyFont="1" applyAlignment="1" applyProtection="1">
      <alignment vertical="center"/>
      <protection hidden="1"/>
    </xf>
    <xf numFmtId="9" fontId="17" fillId="6" borderId="13" xfId="0" applyNumberFormat="1" applyFont="1" applyFill="1" applyBorder="1" applyAlignment="1">
      <alignment vertical="center" wrapText="1"/>
    </xf>
    <xf numFmtId="0" fontId="65" fillId="6" borderId="0" xfId="0" applyFont="1" applyFill="1" applyAlignment="1">
      <alignment horizontal="left" vertical="top" wrapText="1"/>
    </xf>
    <xf numFmtId="49" fontId="29" fillId="6" borderId="0" xfId="0" applyNumberFormat="1" applyFont="1" applyFill="1" applyAlignment="1" applyProtection="1">
      <alignment vertical="top" wrapText="1"/>
      <protection hidden="1"/>
    </xf>
    <xf numFmtId="0" fontId="43" fillId="8" borderId="9" xfId="0" applyFont="1" applyFill="1" applyBorder="1" applyAlignment="1" applyProtection="1">
      <alignment vertical="center" wrapText="1"/>
      <protection hidden="1"/>
    </xf>
    <xf numFmtId="0" fontId="43" fillId="8" borderId="2" xfId="0" applyFont="1" applyFill="1" applyBorder="1" applyAlignment="1" applyProtection="1">
      <alignment vertical="center" wrapText="1"/>
      <protection hidden="1"/>
    </xf>
    <xf numFmtId="0" fontId="53" fillId="6" borderId="0" xfId="0" applyFont="1" applyFill="1"/>
    <xf numFmtId="0" fontId="53" fillId="2" borderId="0" xfId="0" applyFont="1" applyFill="1"/>
    <xf numFmtId="0" fontId="67" fillId="2" borderId="0" xfId="0" applyFont="1" applyFill="1" applyAlignment="1">
      <alignment horizontal="right" vertical="top"/>
    </xf>
    <xf numFmtId="0" fontId="53" fillId="2" borderId="0" xfId="0" applyFont="1" applyFill="1" applyAlignment="1">
      <alignment horizontal="right" vertical="center"/>
    </xf>
    <xf numFmtId="0" fontId="53" fillId="6" borderId="4" xfId="0" applyFont="1" applyFill="1" applyBorder="1"/>
    <xf numFmtId="49" fontId="68" fillId="6" borderId="4" xfId="0" applyNumberFormat="1" applyFont="1" applyFill="1" applyBorder="1"/>
    <xf numFmtId="0" fontId="53" fillId="0" borderId="4" xfId="0" applyFont="1" applyBorder="1"/>
    <xf numFmtId="0" fontId="53" fillId="0" borderId="0" xfId="0" applyFont="1"/>
    <xf numFmtId="0" fontId="53" fillId="2" borderId="4" xfId="0" applyFont="1" applyFill="1" applyBorder="1"/>
    <xf numFmtId="49" fontId="70" fillId="6" borderId="11" xfId="0" applyNumberFormat="1" applyFont="1" applyFill="1" applyBorder="1" applyAlignment="1">
      <alignment horizontal="right" vertical="center" wrapText="1"/>
    </xf>
    <xf numFmtId="0" fontId="53" fillId="0" borderId="6" xfId="0" applyFont="1" applyBorder="1"/>
    <xf numFmtId="0" fontId="6" fillId="2" borderId="0" xfId="0" applyFont="1" applyFill="1" applyAlignment="1">
      <alignment vertical="center"/>
    </xf>
    <xf numFmtId="0" fontId="6" fillId="2" borderId="0" xfId="0" applyFont="1" applyFill="1"/>
    <xf numFmtId="0" fontId="53" fillId="2" borderId="4" xfId="0" applyFont="1" applyFill="1" applyBorder="1" applyAlignment="1">
      <alignment vertical="center"/>
    </xf>
    <xf numFmtId="1" fontId="54" fillId="6" borderId="5" xfId="0" applyNumberFormat="1" applyFont="1" applyFill="1" applyBorder="1" applyAlignment="1">
      <alignment vertical="center"/>
    </xf>
    <xf numFmtId="0" fontId="53" fillId="6" borderId="54" xfId="0" applyFont="1" applyFill="1" applyBorder="1" applyAlignment="1">
      <alignment horizontal="left" vertical="center"/>
    </xf>
    <xf numFmtId="0" fontId="53" fillId="6" borderId="5" xfId="0" applyFont="1" applyFill="1" applyBorder="1" applyAlignment="1">
      <alignment horizontal="left" vertical="center"/>
    </xf>
    <xf numFmtId="0" fontId="53" fillId="6" borderId="12" xfId="0" applyFont="1" applyFill="1" applyBorder="1" applyAlignment="1">
      <alignment horizontal="left" vertical="center"/>
    </xf>
    <xf numFmtId="0" fontId="53" fillId="2" borderId="0" xfId="0" applyFont="1" applyFill="1" applyAlignment="1">
      <alignment vertical="center"/>
    </xf>
    <xf numFmtId="0" fontId="53" fillId="2" borderId="4" xfId="0" applyFont="1" applyFill="1" applyBorder="1" applyAlignment="1">
      <alignment horizontal="center"/>
    </xf>
    <xf numFmtId="0" fontId="53" fillId="6" borderId="0" xfId="0" applyFont="1" applyFill="1" applyAlignment="1">
      <alignment vertical="center"/>
    </xf>
    <xf numFmtId="0" fontId="53" fillId="2" borderId="4" xfId="0" applyFont="1" applyFill="1" applyBorder="1" applyAlignment="1">
      <alignment horizontal="center" vertical="center"/>
    </xf>
    <xf numFmtId="2" fontId="71" fillId="6" borderId="0" xfId="0" applyNumberFormat="1" applyFont="1" applyFill="1" applyAlignment="1">
      <alignment vertical="center"/>
    </xf>
    <xf numFmtId="0" fontId="6" fillId="6" borderId="0" xfId="0" applyFont="1" applyFill="1" applyAlignment="1">
      <alignment vertical="center"/>
    </xf>
    <xf numFmtId="2" fontId="53" fillId="6" borderId="0" xfId="0" applyNumberFormat="1" applyFont="1" applyFill="1" applyAlignment="1">
      <alignment vertical="center"/>
    </xf>
    <xf numFmtId="0" fontId="43" fillId="6" borderId="0" xfId="0" applyFont="1" applyFill="1" applyAlignment="1">
      <alignment vertical="center"/>
    </xf>
    <xf numFmtId="3" fontId="53" fillId="2" borderId="0" xfId="0" applyNumberFormat="1" applyFont="1" applyFill="1"/>
    <xf numFmtId="0" fontId="78" fillId="6" borderId="0" xfId="0" applyFont="1" applyFill="1"/>
    <xf numFmtId="0" fontId="75" fillId="6" borderId="0" xfId="0" applyFont="1" applyFill="1"/>
    <xf numFmtId="0" fontId="75" fillId="0" borderId="0" xfId="0" applyFont="1"/>
    <xf numFmtId="0" fontId="71" fillId="6" borderId="0" xfId="0" applyFont="1" applyFill="1"/>
    <xf numFmtId="0" fontId="53" fillId="17" borderId="19" xfId="0" applyFont="1" applyFill="1" applyBorder="1"/>
    <xf numFmtId="0" fontId="9" fillId="6" borderId="0" xfId="0" applyFont="1" applyFill="1" applyAlignment="1">
      <alignment horizontal="left" vertical="top"/>
    </xf>
    <xf numFmtId="0" fontId="11" fillId="0" borderId="0" xfId="0" applyFont="1" applyProtection="1">
      <protection locked="0"/>
    </xf>
    <xf numFmtId="0" fontId="0" fillId="19" borderId="0" xfId="0" applyFill="1"/>
    <xf numFmtId="0" fontId="0" fillId="20" borderId="0" xfId="0" applyFill="1"/>
    <xf numFmtId="49" fontId="0" fillId="20" borderId="0" xfId="0" applyNumberFormat="1" applyFill="1"/>
    <xf numFmtId="14" fontId="0" fillId="20" borderId="0" xfId="0" applyNumberFormat="1" applyFill="1"/>
    <xf numFmtId="49" fontId="0" fillId="20" borderId="0" xfId="0" applyNumberFormat="1" applyFill="1" applyAlignment="1">
      <alignment horizontal="left"/>
    </xf>
    <xf numFmtId="0" fontId="0" fillId="21" borderId="0" xfId="0" applyFill="1" applyAlignment="1">
      <alignment vertical="top" wrapText="1"/>
    </xf>
    <xf numFmtId="2" fontId="0" fillId="0" borderId="0" xfId="0" applyNumberFormat="1"/>
    <xf numFmtId="44" fontId="0" fillId="0" borderId="0" xfId="0" applyNumberFormat="1"/>
    <xf numFmtId="1" fontId="0" fillId="0" borderId="0" xfId="0" applyNumberFormat="1"/>
    <xf numFmtId="7" fontId="0" fillId="0" borderId="0" xfId="0" applyNumberFormat="1"/>
    <xf numFmtId="169" fontId="53" fillId="6" borderId="0" xfId="0" applyNumberFormat="1" applyFont="1" applyFill="1" applyProtection="1">
      <protection locked="0"/>
    </xf>
    <xf numFmtId="0" fontId="61" fillId="6" borderId="0" xfId="5" applyFont="1" applyFill="1" applyAlignment="1" applyProtection="1">
      <alignment horizontal="center" vertical="center"/>
      <protection hidden="1"/>
    </xf>
    <xf numFmtId="3" fontId="74" fillId="6" borderId="0" xfId="0" applyNumberFormat="1" applyFont="1" applyFill="1" applyAlignment="1" applyProtection="1">
      <alignment vertical="center" wrapText="1"/>
      <protection hidden="1"/>
    </xf>
    <xf numFmtId="3" fontId="43" fillId="6" borderId="70" xfId="0" applyNumberFormat="1" applyFont="1" applyFill="1" applyBorder="1" applyAlignment="1" applyProtection="1">
      <alignment horizontal="right" vertical="center" wrapText="1"/>
      <protection hidden="1"/>
    </xf>
    <xf numFmtId="7" fontId="0" fillId="0" borderId="0" xfId="0" applyNumberFormat="1" applyProtection="1">
      <protection locked="0"/>
    </xf>
    <xf numFmtId="0" fontId="17" fillId="6" borderId="0" xfId="5" applyFont="1" applyFill="1" applyAlignment="1" applyProtection="1">
      <alignment horizontal="center" vertical="center"/>
      <protection hidden="1"/>
    </xf>
    <xf numFmtId="0" fontId="0" fillId="6" borderId="4" xfId="0" applyFill="1" applyBorder="1"/>
    <xf numFmtId="0" fontId="0" fillId="6" borderId="4" xfId="0" applyFill="1" applyBorder="1" applyAlignment="1">
      <alignment vertical="center"/>
    </xf>
    <xf numFmtId="3" fontId="43" fillId="6" borderId="32" xfId="0" applyNumberFormat="1" applyFont="1" applyFill="1" applyBorder="1" applyAlignment="1" applyProtection="1">
      <alignment horizontal="right" vertical="center" wrapText="1"/>
      <protection hidden="1"/>
    </xf>
    <xf numFmtId="3" fontId="43" fillId="6" borderId="9" xfId="0" applyNumberFormat="1" applyFont="1" applyFill="1" applyBorder="1" applyAlignment="1" applyProtection="1">
      <alignment horizontal="right" vertical="center" wrapText="1"/>
      <protection hidden="1"/>
    </xf>
    <xf numFmtId="3" fontId="43" fillId="6" borderId="0" xfId="0" applyNumberFormat="1" applyFont="1" applyFill="1" applyAlignment="1" applyProtection="1">
      <alignment horizontal="right" vertical="center" wrapText="1"/>
      <protection hidden="1"/>
    </xf>
    <xf numFmtId="3" fontId="43" fillId="6" borderId="61" xfId="0" applyNumberFormat="1" applyFont="1" applyFill="1" applyBorder="1" applyAlignment="1" applyProtection="1">
      <alignment horizontal="right" vertical="center" wrapText="1"/>
      <protection hidden="1"/>
    </xf>
    <xf numFmtId="3" fontId="74" fillId="0" borderId="12" xfId="0" applyNumberFormat="1" applyFont="1" applyBorder="1" applyAlignment="1" applyProtection="1">
      <alignment vertical="center" wrapText="1"/>
      <protection hidden="1"/>
    </xf>
    <xf numFmtId="3" fontId="74" fillId="0" borderId="19" xfId="0" applyNumberFormat="1" applyFont="1" applyBorder="1" applyAlignment="1" applyProtection="1">
      <alignment vertical="center" wrapText="1"/>
      <protection hidden="1"/>
    </xf>
    <xf numFmtId="49" fontId="54" fillId="6" borderId="6" xfId="0" applyNumberFormat="1" applyFont="1" applyFill="1" applyBorder="1" applyAlignment="1" applyProtection="1">
      <alignment vertical="center" wrapText="1"/>
      <protection hidden="1"/>
    </xf>
    <xf numFmtId="164" fontId="51" fillId="6" borderId="18" xfId="1" applyNumberFormat="1" applyFont="1" applyFill="1" applyBorder="1" applyAlignment="1" applyProtection="1">
      <alignment horizontal="right" vertical="center" indent="1"/>
      <protection hidden="1"/>
    </xf>
    <xf numFmtId="164" fontId="7" fillId="6" borderId="18" xfId="1" applyNumberFormat="1" applyFont="1" applyFill="1" applyBorder="1" applyAlignment="1" applyProtection="1">
      <alignment horizontal="right" vertical="center" indent="1"/>
      <protection hidden="1"/>
    </xf>
    <xf numFmtId="170" fontId="59" fillId="9" borderId="0" xfId="4" applyNumberFormat="1" applyFill="1" applyBorder="1"/>
    <xf numFmtId="164" fontId="59" fillId="9" borderId="0" xfId="4" applyNumberFormat="1" applyFill="1" applyBorder="1"/>
    <xf numFmtId="173" fontId="59" fillId="9" borderId="0" xfId="4" applyNumberFormat="1" applyFill="1" applyBorder="1"/>
    <xf numFmtId="3" fontId="0" fillId="0" borderId="0" xfId="0" applyNumberFormat="1" applyAlignment="1">
      <alignment horizontal="right"/>
    </xf>
    <xf numFmtId="164" fontId="73" fillId="22" borderId="4" xfId="0" applyNumberFormat="1" applyFont="1" applyFill="1" applyBorder="1" applyAlignment="1" applyProtection="1">
      <alignment vertical="center" wrapText="1"/>
      <protection hidden="1"/>
    </xf>
    <xf numFmtId="1" fontId="54" fillId="17" borderId="64" xfId="0" applyNumberFormat="1" applyFont="1" applyFill="1" applyBorder="1" applyAlignment="1" applyProtection="1">
      <alignment horizontal="left" vertical="center" wrapText="1"/>
      <protection hidden="1"/>
    </xf>
    <xf numFmtId="0" fontId="53" fillId="17" borderId="62" xfId="0" applyFont="1" applyFill="1" applyBorder="1" applyAlignment="1">
      <alignment horizontal="left"/>
    </xf>
    <xf numFmtId="1" fontId="54" fillId="17" borderId="58" xfId="0" applyNumberFormat="1" applyFont="1" applyFill="1" applyBorder="1" applyAlignment="1" applyProtection="1">
      <alignment horizontal="left" vertical="center" wrapText="1"/>
      <protection hidden="1"/>
    </xf>
    <xf numFmtId="9" fontId="43" fillId="7" borderId="21" xfId="1" applyFont="1" applyFill="1" applyBorder="1" applyAlignment="1" applyProtection="1">
      <alignment horizontal="left" vertical="center" wrapText="1"/>
      <protection hidden="1"/>
    </xf>
    <xf numFmtId="0" fontId="43" fillId="7" borderId="21" xfId="1" applyNumberFormat="1" applyFont="1" applyFill="1" applyBorder="1" applyAlignment="1" applyProtection="1">
      <alignment horizontal="left" vertical="center" wrapText="1"/>
      <protection hidden="1"/>
    </xf>
    <xf numFmtId="0" fontId="53" fillId="0" borderId="21" xfId="0" applyFont="1" applyBorder="1" applyAlignment="1">
      <alignment horizontal="left" vertical="center" wrapText="1"/>
    </xf>
    <xf numFmtId="1" fontId="85" fillId="9" borderId="12" xfId="0" applyNumberFormat="1" applyFont="1" applyFill="1" applyBorder="1" applyAlignment="1" applyProtection="1">
      <alignment vertical="center" wrapText="1"/>
      <protection hidden="1"/>
    </xf>
    <xf numFmtId="1" fontId="85" fillId="9" borderId="4" xfId="0" applyNumberFormat="1" applyFont="1" applyFill="1" applyBorder="1" applyAlignment="1" applyProtection="1">
      <alignment vertical="center" wrapText="1"/>
      <protection hidden="1"/>
    </xf>
    <xf numFmtId="1" fontId="85" fillId="9" borderId="10" xfId="0" applyNumberFormat="1" applyFont="1" applyFill="1" applyBorder="1" applyAlignment="1" applyProtection="1">
      <alignment vertical="center" wrapText="1"/>
      <protection hidden="1"/>
    </xf>
    <xf numFmtId="1" fontId="85" fillId="9" borderId="19" xfId="0" applyNumberFormat="1" applyFont="1" applyFill="1" applyBorder="1" applyAlignment="1" applyProtection="1">
      <alignment vertical="center" wrapText="1"/>
      <protection hidden="1"/>
    </xf>
    <xf numFmtId="1" fontId="85" fillId="9" borderId="6" xfId="0" applyNumberFormat="1" applyFont="1" applyFill="1" applyBorder="1" applyAlignment="1" applyProtection="1">
      <alignment vertical="center" wrapText="1"/>
      <protection hidden="1"/>
    </xf>
    <xf numFmtId="1" fontId="85" fillId="9" borderId="54" xfId="0" applyNumberFormat="1" applyFont="1" applyFill="1" applyBorder="1" applyAlignment="1" applyProtection="1">
      <alignment vertical="center" wrapText="1"/>
      <protection hidden="1"/>
    </xf>
    <xf numFmtId="3" fontId="73" fillId="7" borderId="4" xfId="1" applyNumberFormat="1" applyFont="1" applyFill="1" applyBorder="1" applyAlignment="1" applyProtection="1">
      <alignment horizontal="right" vertical="center" wrapText="1"/>
      <protection hidden="1"/>
    </xf>
    <xf numFmtId="164" fontId="73" fillId="7" borderId="4" xfId="1" applyNumberFormat="1" applyFont="1" applyFill="1" applyBorder="1" applyAlignment="1" applyProtection="1">
      <alignment horizontal="right" vertical="center" wrapText="1"/>
      <protection hidden="1"/>
    </xf>
    <xf numFmtId="168" fontId="73" fillId="7" borderId="4" xfId="1" applyNumberFormat="1" applyFont="1" applyFill="1" applyBorder="1" applyAlignment="1" applyProtection="1">
      <alignment horizontal="right" vertical="center" wrapText="1"/>
      <protection hidden="1"/>
    </xf>
    <xf numFmtId="9" fontId="77" fillId="9" borderId="21" xfId="1" applyFont="1" applyFill="1" applyBorder="1" applyAlignment="1" applyProtection="1">
      <alignment vertical="center" wrapText="1"/>
      <protection hidden="1"/>
    </xf>
    <xf numFmtId="9" fontId="77" fillId="9" borderId="55" xfId="1" applyFont="1" applyFill="1" applyBorder="1" applyAlignment="1" applyProtection="1">
      <alignment vertical="center" wrapText="1"/>
      <protection hidden="1"/>
    </xf>
    <xf numFmtId="167" fontId="73" fillId="7" borderId="4" xfId="1" applyNumberFormat="1" applyFont="1" applyFill="1" applyBorder="1" applyAlignment="1" applyProtection="1">
      <alignment vertical="center" wrapText="1"/>
      <protection hidden="1"/>
    </xf>
    <xf numFmtId="9" fontId="43" fillId="7" borderId="4" xfId="1" applyFont="1" applyFill="1" applyBorder="1" applyAlignment="1" applyProtection="1">
      <alignment horizontal="left" vertical="center" wrapText="1"/>
      <protection hidden="1"/>
    </xf>
    <xf numFmtId="0" fontId="53" fillId="0" borderId="4" xfId="0" applyFont="1" applyBorder="1" applyAlignment="1">
      <alignment horizontal="left" vertical="center" wrapText="1"/>
    </xf>
    <xf numFmtId="3" fontId="74" fillId="0" borderId="12" xfId="0" applyNumberFormat="1" applyFont="1" applyBorder="1" applyAlignment="1" applyProtection="1">
      <alignment vertical="center" wrapText="1"/>
      <protection hidden="1"/>
    </xf>
    <xf numFmtId="3" fontId="74" fillId="0" borderId="4" xfId="0" applyNumberFormat="1" applyFont="1" applyBorder="1" applyAlignment="1" applyProtection="1">
      <alignment vertical="center" wrapText="1"/>
      <protection hidden="1"/>
    </xf>
    <xf numFmtId="0" fontId="73" fillId="7" borderId="68" xfId="0" applyFont="1" applyFill="1" applyBorder="1" applyAlignment="1" applyProtection="1">
      <alignment horizontal="center" vertical="center" wrapText="1"/>
      <protection hidden="1"/>
    </xf>
    <xf numFmtId="0" fontId="73" fillId="7" borderId="69" xfId="0" applyFont="1" applyFill="1" applyBorder="1" applyAlignment="1" applyProtection="1">
      <alignment horizontal="center" vertical="center" wrapText="1"/>
      <protection hidden="1"/>
    </xf>
    <xf numFmtId="164" fontId="73" fillId="7" borderId="4" xfId="0" applyNumberFormat="1" applyFont="1" applyFill="1" applyBorder="1" applyAlignment="1" applyProtection="1">
      <alignment vertical="center" wrapText="1"/>
      <protection hidden="1"/>
    </xf>
    <xf numFmtId="0" fontId="43" fillId="7" borderId="1" xfId="0" applyFont="1" applyFill="1" applyBorder="1" applyAlignment="1" applyProtection="1">
      <alignment horizontal="left" vertical="center" wrapText="1"/>
      <protection hidden="1"/>
    </xf>
    <xf numFmtId="0" fontId="43" fillId="7" borderId="8" xfId="0" applyFont="1" applyFill="1" applyBorder="1" applyAlignment="1" applyProtection="1">
      <alignment horizontal="left" vertical="center" wrapText="1"/>
      <protection hidden="1"/>
    </xf>
    <xf numFmtId="0" fontId="53" fillId="7" borderId="7" xfId="0" applyFont="1" applyFill="1" applyBorder="1" applyAlignment="1">
      <alignment horizontal="left" vertical="center" wrapText="1"/>
    </xf>
    <xf numFmtId="0" fontId="53" fillId="7" borderId="8" xfId="0" applyFont="1" applyFill="1" applyBorder="1" applyAlignment="1">
      <alignment horizontal="left" vertical="center" wrapText="1"/>
    </xf>
    <xf numFmtId="0" fontId="53" fillId="7" borderId="7" xfId="0" applyFont="1" applyFill="1" applyBorder="1" applyAlignment="1">
      <alignment vertical="center"/>
    </xf>
    <xf numFmtId="0" fontId="53" fillId="7" borderId="8" xfId="0" applyFont="1" applyFill="1" applyBorder="1" applyAlignment="1">
      <alignment vertical="center"/>
    </xf>
    <xf numFmtId="49" fontId="54" fillId="17" borderId="4" xfId="0" applyNumberFormat="1" applyFont="1" applyFill="1" applyBorder="1" applyAlignment="1" applyProtection="1">
      <alignment horizontal="center" vertical="center" wrapText="1"/>
      <protection hidden="1"/>
    </xf>
    <xf numFmtId="0" fontId="6" fillId="15" borderId="7" xfId="0" applyFont="1" applyFill="1" applyBorder="1" applyAlignment="1" applyProtection="1">
      <alignment vertical="center"/>
      <protection hidden="1"/>
    </xf>
    <xf numFmtId="0" fontId="6" fillId="15" borderId="8" xfId="0" applyFont="1" applyFill="1" applyBorder="1" applyAlignment="1" applyProtection="1">
      <alignment vertical="center"/>
      <protection hidden="1"/>
    </xf>
    <xf numFmtId="3" fontId="74" fillId="6" borderId="12" xfId="0" applyNumberFormat="1" applyFont="1" applyFill="1" applyBorder="1" applyAlignment="1" applyProtection="1">
      <alignment vertical="center" wrapText="1"/>
      <protection hidden="1"/>
    </xf>
    <xf numFmtId="3" fontId="74" fillId="6" borderId="4" xfId="0" applyNumberFormat="1" applyFont="1" applyFill="1" applyBorder="1" applyAlignment="1" applyProtection="1">
      <alignment vertical="center" wrapText="1"/>
      <protection hidden="1"/>
    </xf>
    <xf numFmtId="164" fontId="73" fillId="9" borderId="4" xfId="1" applyNumberFormat="1" applyFont="1" applyFill="1" applyBorder="1" applyAlignment="1" applyProtection="1">
      <alignment horizontal="right" vertical="center" wrapText="1"/>
      <protection hidden="1"/>
    </xf>
    <xf numFmtId="164" fontId="75" fillId="9" borderId="4" xfId="0" applyNumberFormat="1" applyFont="1" applyFill="1" applyBorder="1" applyAlignment="1">
      <alignment horizontal="right" vertical="center" wrapText="1"/>
    </xf>
    <xf numFmtId="164" fontId="73" fillId="9" borderId="4" xfId="0" applyNumberFormat="1" applyFont="1" applyFill="1" applyBorder="1" applyAlignment="1" applyProtection="1">
      <alignment vertical="center" wrapText="1"/>
      <protection hidden="1"/>
    </xf>
    <xf numFmtId="2" fontId="53" fillId="8" borderId="10" xfId="0" applyNumberFormat="1" applyFont="1" applyFill="1" applyBorder="1" applyAlignment="1" applyProtection="1">
      <alignment horizontal="left" vertical="center"/>
      <protection locked="0"/>
    </xf>
    <xf numFmtId="2" fontId="53" fillId="8" borderId="11" xfId="0" applyNumberFormat="1" applyFont="1" applyFill="1" applyBorder="1" applyAlignment="1" applyProtection="1">
      <alignment horizontal="left" vertical="center"/>
      <protection locked="0"/>
    </xf>
    <xf numFmtId="2" fontId="53" fillId="8" borderId="12" xfId="0" applyNumberFormat="1" applyFont="1" applyFill="1" applyBorder="1" applyAlignment="1" applyProtection="1">
      <alignment horizontal="left" vertical="center"/>
      <protection locked="0"/>
    </xf>
    <xf numFmtId="0" fontId="53" fillId="8" borderId="10" xfId="0" applyFont="1" applyFill="1" applyBorder="1" applyAlignment="1" applyProtection="1">
      <alignment horizontal="left" vertical="top"/>
      <protection locked="0"/>
    </xf>
    <xf numFmtId="0" fontId="53" fillId="8" borderId="11" xfId="0" applyFont="1" applyFill="1" applyBorder="1" applyAlignment="1" applyProtection="1">
      <alignment horizontal="left" vertical="top"/>
      <protection locked="0"/>
    </xf>
    <xf numFmtId="0" fontId="53" fillId="8" borderId="12" xfId="0" applyFont="1" applyFill="1" applyBorder="1" applyAlignment="1" applyProtection="1">
      <alignment horizontal="left" vertical="top"/>
      <protection locked="0"/>
    </xf>
    <xf numFmtId="0" fontId="43" fillId="6" borderId="3" xfId="0" applyFont="1" applyFill="1" applyBorder="1" applyAlignment="1">
      <alignment horizontal="left" vertical="center" wrapText="1"/>
    </xf>
    <xf numFmtId="0" fontId="43" fillId="6" borderId="0" xfId="0" applyFont="1" applyFill="1" applyAlignment="1">
      <alignment horizontal="left" vertical="center" wrapText="1"/>
    </xf>
    <xf numFmtId="0" fontId="43" fillId="7" borderId="31" xfId="0" applyFont="1" applyFill="1" applyBorder="1" applyAlignment="1" applyProtection="1">
      <alignment vertical="center" wrapText="1"/>
      <protection hidden="1"/>
    </xf>
    <xf numFmtId="0" fontId="53" fillId="0" borderId="58" xfId="0" applyFont="1" applyBorder="1" applyAlignment="1">
      <alignment vertical="center" wrapText="1"/>
    </xf>
    <xf numFmtId="49" fontId="69" fillId="6" borderId="54" xfId="0" applyNumberFormat="1" applyFont="1" applyFill="1" applyBorder="1" applyAlignment="1">
      <alignment horizontal="left" vertical="center" wrapText="1"/>
    </xf>
    <xf numFmtId="49" fontId="69" fillId="6" borderId="5" xfId="0" applyNumberFormat="1" applyFont="1" applyFill="1" applyBorder="1" applyAlignment="1">
      <alignment horizontal="left" vertical="center" wrapText="1"/>
    </xf>
    <xf numFmtId="49" fontId="43" fillId="6" borderId="55" xfId="0" applyNumberFormat="1" applyFont="1" applyFill="1" applyBorder="1" applyAlignment="1">
      <alignment horizontal="left" vertical="top" wrapText="1"/>
    </xf>
    <xf numFmtId="49" fontId="43" fillId="6" borderId="56" xfId="0" applyNumberFormat="1" applyFont="1" applyFill="1" applyBorder="1" applyAlignment="1">
      <alignment horizontal="left" vertical="top" wrapText="1"/>
    </xf>
    <xf numFmtId="49" fontId="43" fillId="6" borderId="57" xfId="0" applyNumberFormat="1" applyFont="1" applyFill="1" applyBorder="1" applyAlignment="1">
      <alignment horizontal="left" vertical="top" wrapText="1"/>
    </xf>
    <xf numFmtId="0" fontId="53" fillId="8" borderId="10" xfId="0" applyFont="1" applyFill="1" applyBorder="1" applyAlignment="1" applyProtection="1">
      <alignment horizontal="left" vertical="center"/>
      <protection locked="0"/>
    </xf>
    <xf numFmtId="0" fontId="53" fillId="8" borderId="11" xfId="0" applyFont="1" applyFill="1" applyBorder="1" applyAlignment="1" applyProtection="1">
      <alignment horizontal="left" vertical="center"/>
      <protection locked="0"/>
    </xf>
    <xf numFmtId="0" fontId="53" fillId="8" borderId="12" xfId="0" applyFont="1" applyFill="1" applyBorder="1" applyAlignment="1" applyProtection="1">
      <alignment horizontal="left" vertical="center"/>
      <protection locked="0"/>
    </xf>
    <xf numFmtId="3" fontId="53" fillId="8" borderId="10" xfId="0" applyNumberFormat="1" applyFont="1" applyFill="1" applyBorder="1" applyAlignment="1" applyProtection="1">
      <alignment horizontal="left" vertical="center"/>
      <protection locked="0"/>
    </xf>
    <xf numFmtId="3" fontId="53" fillId="8" borderId="11" xfId="0" applyNumberFormat="1" applyFont="1" applyFill="1" applyBorder="1" applyAlignment="1" applyProtection="1">
      <alignment horizontal="left" vertical="center"/>
      <protection locked="0"/>
    </xf>
    <xf numFmtId="3" fontId="53" fillId="8" borderId="12" xfId="0" applyNumberFormat="1" applyFont="1" applyFill="1" applyBorder="1" applyAlignment="1" applyProtection="1">
      <alignment horizontal="left" vertical="center"/>
      <protection locked="0"/>
    </xf>
    <xf numFmtId="0" fontId="7" fillId="7" borderId="7" xfId="0" applyFont="1" applyFill="1" applyBorder="1" applyAlignment="1" applyProtection="1">
      <alignment horizontal="center" vertical="center" wrapText="1"/>
      <protection hidden="1"/>
    </xf>
    <xf numFmtId="0" fontId="7" fillId="7" borderId="8" xfId="0" applyFont="1" applyFill="1" applyBorder="1" applyAlignment="1" applyProtection="1">
      <alignment horizontal="center" vertical="center" wrapText="1"/>
      <protection hidden="1"/>
    </xf>
    <xf numFmtId="0" fontId="7" fillId="7" borderId="27" xfId="0" applyFont="1" applyFill="1" applyBorder="1" applyAlignment="1" applyProtection="1">
      <alignment horizontal="center" vertical="center" wrapText="1"/>
      <protection hidden="1"/>
    </xf>
    <xf numFmtId="0" fontId="0" fillId="0" borderId="28" xfId="0" applyBorder="1" applyAlignment="1" applyProtection="1">
      <alignment horizontal="center" vertical="center" wrapText="1"/>
      <protection hidden="1"/>
    </xf>
    <xf numFmtId="1" fontId="17" fillId="6" borderId="29" xfId="0" applyNumberFormat="1" applyFont="1" applyFill="1" applyBorder="1" applyAlignment="1" applyProtection="1">
      <alignment vertical="center"/>
      <protection hidden="1"/>
    </xf>
    <xf numFmtId="1" fontId="17" fillId="6" borderId="17" xfId="0" applyNumberFormat="1" applyFont="1" applyFill="1" applyBorder="1" applyAlignment="1" applyProtection="1">
      <alignment vertical="center"/>
      <protection hidden="1"/>
    </xf>
    <xf numFmtId="0" fontId="0" fillId="0" borderId="8" xfId="0" applyBorder="1" applyAlignment="1" applyProtection="1">
      <alignment horizontal="center" vertical="center" wrapText="1"/>
      <protection hidden="1"/>
    </xf>
    <xf numFmtId="1" fontId="4" fillId="6" borderId="0" xfId="0" applyNumberFormat="1" applyFont="1" applyFill="1" applyAlignment="1" applyProtection="1">
      <alignment horizontal="center" vertical="center" wrapText="1"/>
      <protection hidden="1"/>
    </xf>
    <xf numFmtId="0" fontId="0" fillId="7" borderId="9" xfId="0" applyFill="1" applyBorder="1" applyAlignment="1" applyProtection="1">
      <alignment vertical="center" wrapText="1"/>
      <protection hidden="1"/>
    </xf>
    <xf numFmtId="0" fontId="0" fillId="7" borderId="25" xfId="0" applyFill="1" applyBorder="1" applyAlignment="1" applyProtection="1">
      <alignment vertical="center" wrapText="1"/>
      <protection hidden="1"/>
    </xf>
    <xf numFmtId="0" fontId="0" fillId="7" borderId="9" xfId="0" applyFill="1" applyBorder="1" applyAlignment="1" applyProtection="1">
      <alignment horizontal="left" vertical="center" wrapText="1"/>
      <protection hidden="1"/>
    </xf>
    <xf numFmtId="0" fontId="0" fillId="7" borderId="16" xfId="0" applyFill="1" applyBorder="1" applyAlignment="1" applyProtection="1">
      <alignment horizontal="left" vertical="center" wrapText="1"/>
      <protection hidden="1"/>
    </xf>
    <xf numFmtId="0" fontId="0" fillId="7" borderId="25" xfId="0" applyFill="1" applyBorder="1" applyAlignment="1" applyProtection="1">
      <alignment horizontal="left" vertical="center" wrapText="1"/>
      <protection hidden="1"/>
    </xf>
    <xf numFmtId="0" fontId="53" fillId="10" borderId="0" xfId="0" applyFont="1" applyFill="1" applyAlignment="1" applyProtection="1">
      <alignment vertical="center" wrapText="1"/>
      <protection hidden="1"/>
    </xf>
    <xf numFmtId="0" fontId="0" fillId="9" borderId="0" xfId="0" applyFill="1" applyAlignment="1" applyProtection="1">
      <alignment vertical="center" wrapText="1"/>
      <protection hidden="1"/>
    </xf>
    <xf numFmtId="1" fontId="4" fillId="0" borderId="0" xfId="0" applyNumberFormat="1" applyFont="1" applyAlignment="1" applyProtection="1">
      <alignment horizontal="center" vertical="center" wrapText="1"/>
      <protection hidden="1"/>
    </xf>
    <xf numFmtId="1" fontId="4" fillId="0" borderId="5" xfId="0" applyNumberFormat="1" applyFont="1" applyBorder="1" applyAlignment="1" applyProtection="1">
      <alignment horizontal="center" vertical="center" wrapText="1"/>
      <protection hidden="1"/>
    </xf>
    <xf numFmtId="0" fontId="7" fillId="11" borderId="4" xfId="0" applyFont="1" applyFill="1" applyBorder="1" applyAlignment="1">
      <alignment vertical="center" wrapText="1"/>
    </xf>
    <xf numFmtId="0" fontId="23" fillId="10" borderId="4" xfId="0" applyFont="1" applyFill="1" applyBorder="1" applyAlignment="1">
      <alignment vertical="center" wrapText="1"/>
    </xf>
    <xf numFmtId="0" fontId="7" fillId="9" borderId="4" xfId="0" applyFont="1" applyFill="1" applyBorder="1" applyAlignment="1">
      <alignment vertical="center" wrapText="1"/>
    </xf>
    <xf numFmtId="0" fontId="11" fillId="2" borderId="0" xfId="0" applyFont="1" applyFill="1" applyAlignment="1" applyProtection="1">
      <alignment vertical="center"/>
      <protection hidden="1"/>
    </xf>
    <xf numFmtId="0" fontId="0" fillId="10" borderId="0" xfId="0" applyFill="1" applyAlignment="1" applyProtection="1">
      <alignment vertical="center" wrapText="1"/>
      <protection hidden="1"/>
    </xf>
    <xf numFmtId="0" fontId="61" fillId="6" borderId="33" xfId="5" applyFont="1" applyFill="1" applyBorder="1" applyAlignment="1" applyProtection="1">
      <alignment horizontal="center" vertical="center"/>
      <protection hidden="1"/>
    </xf>
    <xf numFmtId="0" fontId="61" fillId="6" borderId="34" xfId="5" applyFont="1" applyFill="1" applyBorder="1" applyAlignment="1" applyProtection="1">
      <alignment horizontal="center" vertical="center"/>
      <protection hidden="1"/>
    </xf>
    <xf numFmtId="0" fontId="61" fillId="6" borderId="66" xfId="5" applyFont="1" applyFill="1" applyBorder="1" applyAlignment="1" applyProtection="1">
      <alignment horizontal="center" vertical="center"/>
      <protection hidden="1"/>
    </xf>
    <xf numFmtId="1" fontId="4" fillId="16" borderId="18" xfId="0" applyNumberFormat="1" applyFont="1" applyFill="1" applyBorder="1" applyAlignment="1" applyProtection="1">
      <alignment horizontal="center" vertical="center"/>
      <protection hidden="1"/>
    </xf>
    <xf numFmtId="1" fontId="62" fillId="6" borderId="33" xfId="0" applyNumberFormat="1" applyFont="1" applyFill="1" applyBorder="1" applyAlignment="1" applyProtection="1">
      <alignment vertical="center" wrapText="1"/>
      <protection hidden="1"/>
    </xf>
    <xf numFmtId="1" fontId="62" fillId="6" borderId="34" xfId="0" applyNumberFormat="1" applyFont="1" applyFill="1" applyBorder="1" applyAlignment="1" applyProtection="1">
      <alignment vertical="center" wrapText="1"/>
      <protection hidden="1"/>
    </xf>
    <xf numFmtId="1" fontId="62" fillId="6" borderId="66" xfId="0" applyNumberFormat="1" applyFont="1" applyFill="1" applyBorder="1" applyAlignment="1" applyProtection="1">
      <alignment vertical="center" wrapText="1"/>
      <protection hidden="1"/>
    </xf>
    <xf numFmtId="1" fontId="62" fillId="6" borderId="18" xfId="0" applyNumberFormat="1" applyFont="1" applyFill="1" applyBorder="1" applyAlignment="1" applyProtection="1">
      <alignment vertical="center" wrapText="1"/>
      <protection hidden="1"/>
    </xf>
    <xf numFmtId="0" fontId="60" fillId="6" borderId="0" xfId="5" applyFont="1" applyFill="1" applyAlignment="1" applyProtection="1">
      <alignment horizontal="center" vertical="center" wrapText="1"/>
      <protection hidden="1"/>
    </xf>
    <xf numFmtId="0" fontId="61" fillId="6" borderId="0" xfId="5" applyFont="1" applyFill="1" applyAlignment="1" applyProtection="1">
      <alignment horizontal="center" vertical="center"/>
      <protection hidden="1"/>
    </xf>
    <xf numFmtId="1" fontId="4" fillId="16" borderId="33" xfId="0" applyNumberFormat="1" applyFont="1" applyFill="1" applyBorder="1" applyAlignment="1" applyProtection="1">
      <alignment horizontal="left" vertical="top"/>
      <protection hidden="1"/>
    </xf>
    <xf numFmtId="1" fontId="4" fillId="16" borderId="34" xfId="0" applyNumberFormat="1" applyFont="1" applyFill="1" applyBorder="1" applyAlignment="1" applyProtection="1">
      <alignment horizontal="left" vertical="top"/>
      <protection hidden="1"/>
    </xf>
    <xf numFmtId="1" fontId="4" fillId="16" borderId="66" xfId="0" applyNumberFormat="1" applyFont="1" applyFill="1" applyBorder="1" applyAlignment="1" applyProtection="1">
      <alignment horizontal="left" vertical="top"/>
      <protection hidden="1"/>
    </xf>
    <xf numFmtId="1" fontId="4" fillId="16" borderId="33" xfId="0" applyNumberFormat="1" applyFont="1" applyFill="1" applyBorder="1" applyAlignment="1" applyProtection="1">
      <alignment horizontal="center" vertical="top"/>
      <protection hidden="1"/>
    </xf>
    <xf numFmtId="1" fontId="4" fillId="16" borderId="34" xfId="0" applyNumberFormat="1" applyFont="1" applyFill="1" applyBorder="1" applyAlignment="1" applyProtection="1">
      <alignment horizontal="center" vertical="top"/>
      <protection hidden="1"/>
    </xf>
    <xf numFmtId="1" fontId="4" fillId="16" borderId="66" xfId="0" applyNumberFormat="1" applyFont="1" applyFill="1" applyBorder="1" applyAlignment="1" applyProtection="1">
      <alignment horizontal="center" vertical="top"/>
      <protection hidden="1"/>
    </xf>
    <xf numFmtId="49" fontId="15" fillId="7" borderId="33" xfId="0" applyNumberFormat="1" applyFont="1" applyFill="1" applyBorder="1" applyAlignment="1" applyProtection="1">
      <alignment horizontal="left" vertical="top" wrapText="1"/>
      <protection hidden="1"/>
    </xf>
    <xf numFmtId="49" fontId="15" fillId="7" borderId="34" xfId="0" applyNumberFormat="1" applyFont="1" applyFill="1" applyBorder="1" applyAlignment="1" applyProtection="1">
      <alignment horizontal="left" vertical="top" wrapText="1"/>
      <protection hidden="1"/>
    </xf>
    <xf numFmtId="49" fontId="15" fillId="7" borderId="66" xfId="0" applyNumberFormat="1" applyFont="1" applyFill="1" applyBorder="1" applyAlignment="1" applyProtection="1">
      <alignment horizontal="left" vertical="top" wrapText="1"/>
      <protection hidden="1"/>
    </xf>
    <xf numFmtId="0" fontId="7" fillId="6" borderId="33" xfId="0" applyFont="1" applyFill="1" applyBorder="1" applyAlignment="1" applyProtection="1">
      <alignment horizontal="left" vertical="center" wrapText="1"/>
      <protection hidden="1"/>
    </xf>
    <xf numFmtId="0" fontId="7" fillId="6" borderId="34" xfId="0" applyFont="1" applyFill="1" applyBorder="1" applyAlignment="1" applyProtection="1">
      <alignment horizontal="left" vertical="center" wrapText="1"/>
      <protection hidden="1"/>
    </xf>
    <xf numFmtId="0" fontId="7" fillId="6" borderId="66" xfId="0" applyFont="1" applyFill="1" applyBorder="1" applyAlignment="1" applyProtection="1">
      <alignment horizontal="left" vertical="center" wrapText="1"/>
      <protection hidden="1"/>
    </xf>
    <xf numFmtId="49" fontId="7" fillId="6" borderId="33" xfId="0" applyNumberFormat="1" applyFont="1" applyFill="1" applyBorder="1" applyAlignment="1" applyProtection="1">
      <alignment horizontal="left" vertical="center" wrapText="1"/>
      <protection hidden="1"/>
    </xf>
    <xf numFmtId="49" fontId="7" fillId="6" borderId="34" xfId="0" applyNumberFormat="1" applyFont="1" applyFill="1" applyBorder="1" applyAlignment="1" applyProtection="1">
      <alignment horizontal="left" vertical="center" wrapText="1"/>
      <protection hidden="1"/>
    </xf>
    <xf numFmtId="49" fontId="7" fillId="6" borderId="66" xfId="0" applyNumberFormat="1" applyFont="1" applyFill="1" applyBorder="1" applyAlignment="1" applyProtection="1">
      <alignment horizontal="left" vertical="center" wrapText="1"/>
      <protection hidden="1"/>
    </xf>
    <xf numFmtId="49" fontId="7" fillId="6" borderId="33" xfId="0" applyNumberFormat="1" applyFont="1" applyFill="1" applyBorder="1" applyAlignment="1" applyProtection="1">
      <alignment horizontal="left" vertical="top" wrapText="1"/>
      <protection hidden="1"/>
    </xf>
    <xf numFmtId="49" fontId="7" fillId="6" borderId="34" xfId="0" applyNumberFormat="1" applyFont="1" applyFill="1" applyBorder="1" applyAlignment="1" applyProtection="1">
      <alignment horizontal="left" vertical="top" wrapText="1"/>
      <protection hidden="1"/>
    </xf>
    <xf numFmtId="49" fontId="7" fillId="6" borderId="66" xfId="0" applyNumberFormat="1" applyFont="1" applyFill="1" applyBorder="1" applyAlignment="1" applyProtection="1">
      <alignment horizontal="left" vertical="top" wrapText="1"/>
      <protection hidden="1"/>
    </xf>
    <xf numFmtId="1" fontId="29" fillId="17" borderId="10" xfId="0" applyNumberFormat="1" applyFont="1" applyFill="1" applyBorder="1" applyAlignment="1" applyProtection="1">
      <alignment horizontal="left" vertical="top" wrapText="1"/>
      <protection hidden="1"/>
    </xf>
    <xf numFmtId="1" fontId="29" fillId="17" borderId="11" xfId="0" applyNumberFormat="1" applyFont="1" applyFill="1" applyBorder="1" applyAlignment="1" applyProtection="1">
      <alignment horizontal="left" vertical="top" wrapText="1"/>
      <protection hidden="1"/>
    </xf>
    <xf numFmtId="1" fontId="29" fillId="17" borderId="12" xfId="0" applyNumberFormat="1" applyFont="1" applyFill="1" applyBorder="1" applyAlignment="1" applyProtection="1">
      <alignment horizontal="left" vertical="top" wrapText="1"/>
      <protection hidden="1"/>
    </xf>
    <xf numFmtId="1" fontId="4" fillId="16" borderId="46" xfId="0" applyNumberFormat="1" applyFont="1" applyFill="1" applyBorder="1" applyAlignment="1" applyProtection="1">
      <alignment horizontal="center" vertical="center"/>
      <protection hidden="1"/>
    </xf>
    <xf numFmtId="1" fontId="4" fillId="16" borderId="13" xfId="0" applyNumberFormat="1" applyFont="1" applyFill="1" applyBorder="1" applyAlignment="1" applyProtection="1">
      <alignment horizontal="center" vertical="center"/>
      <protection hidden="1"/>
    </xf>
    <xf numFmtId="1" fontId="4" fillId="16" borderId="67" xfId="0" applyNumberFormat="1" applyFont="1" applyFill="1" applyBorder="1" applyAlignment="1" applyProtection="1">
      <alignment horizontal="center" vertical="center"/>
      <protection hidden="1"/>
    </xf>
    <xf numFmtId="1" fontId="4" fillId="16" borderId="23" xfId="0" applyNumberFormat="1" applyFont="1" applyFill="1" applyBorder="1" applyAlignment="1" applyProtection="1">
      <alignment horizontal="center" vertical="center"/>
      <protection hidden="1"/>
    </xf>
    <xf numFmtId="1" fontId="4" fillId="16" borderId="33" xfId="0" applyNumberFormat="1" applyFont="1" applyFill="1" applyBorder="1" applyAlignment="1" applyProtection="1">
      <alignment horizontal="center" vertical="center"/>
      <protection hidden="1"/>
    </xf>
    <xf numFmtId="1" fontId="4" fillId="16" borderId="34" xfId="0" applyNumberFormat="1" applyFont="1" applyFill="1" applyBorder="1" applyAlignment="1" applyProtection="1">
      <alignment horizontal="center" vertical="center"/>
      <protection hidden="1"/>
    </xf>
    <xf numFmtId="1" fontId="4" fillId="16" borderId="66" xfId="0" applyNumberFormat="1" applyFont="1" applyFill="1" applyBorder="1" applyAlignment="1" applyProtection="1">
      <alignment horizontal="center" vertical="center"/>
      <protection hidden="1"/>
    </xf>
    <xf numFmtId="0" fontId="0" fillId="15" borderId="33" xfId="0" applyFill="1" applyBorder="1" applyAlignment="1" applyProtection="1">
      <alignment horizontal="left" vertical="center"/>
      <protection hidden="1"/>
    </xf>
    <xf numFmtId="0" fontId="0" fillId="15" borderId="34" xfId="0" applyFill="1" applyBorder="1" applyAlignment="1" applyProtection="1">
      <alignment horizontal="left" vertical="center"/>
      <protection hidden="1"/>
    </xf>
    <xf numFmtId="0" fontId="0" fillId="15" borderId="66" xfId="0" applyFill="1" applyBorder="1" applyAlignment="1" applyProtection="1">
      <alignment horizontal="left" vertical="center"/>
      <protection hidden="1"/>
    </xf>
    <xf numFmtId="7" fontId="7" fillId="6" borderId="33" xfId="3" applyNumberFormat="1" applyFont="1" applyFill="1" applyBorder="1" applyAlignment="1" applyProtection="1">
      <alignment horizontal="center" vertical="center"/>
      <protection hidden="1"/>
    </xf>
    <xf numFmtId="7" fontId="7" fillId="6" borderId="66" xfId="3" applyNumberFormat="1" applyFont="1" applyFill="1" applyBorder="1" applyAlignment="1" applyProtection="1">
      <alignment horizontal="center" vertical="center"/>
      <protection hidden="1"/>
    </xf>
    <xf numFmtId="1" fontId="16" fillId="16" borderId="33" xfId="0" applyNumberFormat="1" applyFont="1" applyFill="1" applyBorder="1" applyAlignment="1" applyProtection="1">
      <alignment horizontal="right" vertical="center"/>
      <protection hidden="1"/>
    </xf>
    <xf numFmtId="1" fontId="16" fillId="16" borderId="66" xfId="0" applyNumberFormat="1" applyFont="1" applyFill="1" applyBorder="1" applyAlignment="1" applyProtection="1">
      <alignment horizontal="right" vertical="center"/>
      <protection hidden="1"/>
    </xf>
    <xf numFmtId="0" fontId="0" fillId="15" borderId="33" xfId="0" applyFill="1" applyBorder="1" applyAlignment="1" applyProtection="1">
      <alignment horizontal="left" vertical="center" wrapText="1"/>
      <protection hidden="1"/>
    </xf>
    <xf numFmtId="0" fontId="0" fillId="15" borderId="34" xfId="0" applyFill="1" applyBorder="1" applyAlignment="1" applyProtection="1">
      <alignment horizontal="left" vertical="center" wrapText="1"/>
      <protection hidden="1"/>
    </xf>
    <xf numFmtId="0" fontId="0" fillId="15" borderId="66" xfId="0" applyFill="1" applyBorder="1" applyAlignment="1" applyProtection="1">
      <alignment horizontal="left" vertical="center" wrapText="1"/>
      <protection hidden="1"/>
    </xf>
    <xf numFmtId="49" fontId="15" fillId="7" borderId="33" xfId="0" applyNumberFormat="1" applyFont="1" applyFill="1" applyBorder="1" applyAlignment="1" applyProtection="1">
      <alignment horizontal="left" vertical="center" wrapText="1"/>
      <protection hidden="1"/>
    </xf>
    <xf numFmtId="49" fontId="15" fillId="7" borderId="34" xfId="0" applyNumberFormat="1" applyFont="1" applyFill="1" applyBorder="1" applyAlignment="1" applyProtection="1">
      <alignment horizontal="left" vertical="center" wrapText="1"/>
      <protection hidden="1"/>
    </xf>
    <xf numFmtId="49" fontId="15" fillId="7" borderId="66" xfId="0" applyNumberFormat="1" applyFont="1" applyFill="1" applyBorder="1" applyAlignment="1" applyProtection="1">
      <alignment horizontal="left" vertical="center" wrapText="1"/>
      <protection hidden="1"/>
    </xf>
    <xf numFmtId="0" fontId="21" fillId="15" borderId="33" xfId="0" applyFont="1" applyFill="1" applyBorder="1" applyAlignment="1" applyProtection="1">
      <alignment horizontal="left" vertical="center"/>
      <protection hidden="1"/>
    </xf>
    <xf numFmtId="0" fontId="21" fillId="15" borderId="34" xfId="0" applyFont="1" applyFill="1" applyBorder="1" applyAlignment="1" applyProtection="1">
      <alignment horizontal="left" vertical="center"/>
      <protection hidden="1"/>
    </xf>
    <xf numFmtId="0" fontId="21" fillId="15" borderId="66" xfId="0" applyFont="1" applyFill="1" applyBorder="1" applyAlignment="1" applyProtection="1">
      <alignment horizontal="left" vertical="center"/>
      <protection hidden="1"/>
    </xf>
    <xf numFmtId="44" fontId="7" fillId="6" borderId="66" xfId="3" applyFont="1" applyFill="1" applyBorder="1" applyAlignment="1" applyProtection="1">
      <alignment horizontal="center" vertical="center"/>
      <protection hidden="1"/>
    </xf>
    <xf numFmtId="1" fontId="16" fillId="16" borderId="33" xfId="0" applyNumberFormat="1" applyFont="1" applyFill="1" applyBorder="1" applyAlignment="1" applyProtection="1">
      <alignment vertical="top"/>
      <protection hidden="1"/>
    </xf>
    <xf numFmtId="1" fontId="16" fillId="16" borderId="66" xfId="0" applyNumberFormat="1" applyFont="1" applyFill="1" applyBorder="1" applyAlignment="1" applyProtection="1">
      <alignment vertical="top"/>
      <protection hidden="1"/>
    </xf>
    <xf numFmtId="1" fontId="16" fillId="16" borderId="67" xfId="0" applyNumberFormat="1" applyFont="1" applyFill="1" applyBorder="1" applyAlignment="1" applyProtection="1">
      <alignment horizontal="left" vertical="top"/>
      <protection hidden="1"/>
    </xf>
    <xf numFmtId="1" fontId="16" fillId="16" borderId="23" xfId="0" applyNumberFormat="1" applyFont="1" applyFill="1" applyBorder="1" applyAlignment="1" applyProtection="1">
      <alignment horizontal="left" vertical="top"/>
      <protection hidden="1"/>
    </xf>
    <xf numFmtId="1" fontId="64" fillId="0" borderId="33" xfId="0" applyNumberFormat="1" applyFont="1" applyBorder="1" applyAlignment="1" applyProtection="1">
      <alignment horizontal="left" vertical="center" wrapText="1"/>
      <protection hidden="1"/>
    </xf>
    <xf numFmtId="1" fontId="64" fillId="0" borderId="66" xfId="0" applyNumberFormat="1" applyFont="1" applyBorder="1" applyAlignment="1" applyProtection="1">
      <alignment horizontal="left" vertical="center" wrapText="1"/>
      <protection hidden="1"/>
    </xf>
    <xf numFmtId="9" fontId="52" fillId="0" borderId="33" xfId="0" applyNumberFormat="1" applyFont="1" applyBorder="1" applyAlignment="1" applyProtection="1">
      <alignment vertical="center" wrapText="1"/>
      <protection hidden="1"/>
    </xf>
    <xf numFmtId="0" fontId="52" fillId="0" borderId="66" xfId="0" applyFont="1" applyBorder="1" applyAlignment="1" applyProtection="1">
      <alignment vertical="center" wrapText="1"/>
      <protection hidden="1"/>
    </xf>
    <xf numFmtId="0" fontId="52" fillId="0" borderId="33" xfId="1" applyNumberFormat="1" applyFont="1" applyFill="1" applyBorder="1" applyAlignment="1" applyProtection="1">
      <alignment horizontal="left" vertical="center" wrapText="1"/>
      <protection hidden="1"/>
    </xf>
    <xf numFmtId="0" fontId="52" fillId="0" borderId="34" xfId="1" applyNumberFormat="1" applyFont="1" applyFill="1" applyBorder="1" applyAlignment="1" applyProtection="1">
      <alignment horizontal="left" vertical="center" wrapText="1"/>
      <protection hidden="1"/>
    </xf>
    <xf numFmtId="0" fontId="52" fillId="0" borderId="66" xfId="1" applyNumberFormat="1" applyFont="1" applyFill="1" applyBorder="1" applyAlignment="1" applyProtection="1">
      <alignment horizontal="left" vertical="center" wrapText="1"/>
      <protection hidden="1"/>
    </xf>
    <xf numFmtId="9" fontId="86" fillId="9" borderId="0" xfId="0" applyNumberFormat="1" applyFont="1" applyFill="1" applyAlignment="1">
      <alignment vertical="center" wrapText="1"/>
    </xf>
    <xf numFmtId="1" fontId="15" fillId="6" borderId="0" xfId="0" applyNumberFormat="1" applyFont="1" applyFill="1" applyAlignment="1" applyProtection="1">
      <alignment horizontal="left" vertical="center" wrapText="1"/>
      <protection hidden="1"/>
    </xf>
    <xf numFmtId="3" fontId="7" fillId="6" borderId="23" xfId="0" applyNumberFormat="1" applyFont="1" applyFill="1" applyBorder="1" applyAlignment="1" applyProtection="1">
      <alignment horizontal="center"/>
      <protection hidden="1"/>
    </xf>
    <xf numFmtId="0" fontId="0" fillId="6" borderId="13" xfId="0" applyFill="1" applyBorder="1" applyAlignment="1" applyProtection="1">
      <alignment horizontal="center"/>
      <protection hidden="1"/>
    </xf>
    <xf numFmtId="168" fontId="7" fillId="6" borderId="33" xfId="1" applyNumberFormat="1" applyFont="1" applyFill="1" applyBorder="1" applyAlignment="1" applyProtection="1">
      <alignment horizontal="center" vertical="center" wrapText="1"/>
      <protection hidden="1"/>
    </xf>
    <xf numFmtId="168" fontId="7" fillId="6" borderId="66" xfId="1" applyNumberFormat="1" applyFont="1" applyFill="1" applyBorder="1" applyAlignment="1" applyProtection="1">
      <alignment horizontal="center" vertical="center" wrapText="1"/>
      <protection hidden="1"/>
    </xf>
    <xf numFmtId="0" fontId="11" fillId="0" borderId="0" xfId="0" applyFont="1" applyAlignment="1">
      <alignment horizontal="center"/>
    </xf>
    <xf numFmtId="0" fontId="23" fillId="0" borderId="18" xfId="0" applyFont="1" applyBorder="1" applyAlignment="1" applyProtection="1">
      <alignment horizontal="center"/>
      <protection hidden="1"/>
    </xf>
  </cellXfs>
  <cellStyles count="6">
    <cellStyle name="Hypertextový odkaz" xfId="2" builtinId="8"/>
    <cellStyle name="Měna" xfId="3" builtinId="4"/>
    <cellStyle name="Normální" xfId="0" builtinId="0"/>
    <cellStyle name="Procenta" xfId="1" builtinId="5"/>
    <cellStyle name="Standard 2" xfId="5" xr:uid="{1A0D38A9-E4A1-4156-AF5B-6791981E3024}"/>
    <cellStyle name="Výstup" xfId="4" builtinId="21"/>
  </cellStyles>
  <dxfs count="13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numFmt numFmtId="165" formatCode="0.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numFmt numFmtId="3" formatCode="#,##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charset val="238"/>
        <scheme val="minor"/>
      </font>
      <alignment horizontal="left" vertical="bottom" textRotation="0" wrapText="0" indent="0" justifyLastLine="0" shrinkToFit="0" readingOrder="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numFmt numFmtId="3" formatCode="#,##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numFmt numFmtId="165" formatCode="0.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numFmt numFmtId="165" formatCode="0.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numFmt numFmtId="165" formatCode="0.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numFmt numFmtId="165" formatCode="0.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numFmt numFmtId="165" formatCode="0.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numFmt numFmtId="165" formatCode="0.0"/>
      <protection locked="1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charset val="238"/>
        <scheme val="minor"/>
      </font>
      <alignment horizontal="left" vertical="bottom" textRotation="0" wrapText="0" indent="0" justifyLastLine="0" shrinkToFit="0" readingOrder="0"/>
      <protection locked="1" hidden="1"/>
    </dxf>
    <dxf>
      <numFmt numFmtId="164" formatCode="0.0%"/>
      <fill>
        <patternFill patternType="none">
          <fgColor indexed="64"/>
          <bgColor auto="1"/>
        </patternFill>
      </fill>
    </dxf>
    <dxf>
      <numFmt numFmtId="164" formatCode="0.0%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fill>
        <patternFill patternType="none">
          <fgColor indexed="64"/>
          <bgColor auto="1"/>
        </patternFill>
      </fill>
      <protection locked="0" hidden="1"/>
    </dxf>
    <dxf>
      <fill>
        <patternFill patternType="none">
          <fgColor indexed="64"/>
          <bgColor auto="1"/>
        </patternFill>
      </fill>
    </dxf>
    <dxf>
      <fill>
        <patternFill patternType="solid">
          <fgColor indexed="64"/>
          <bgColor rgb="FF00B0F0"/>
        </patternFill>
      </fill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fill>
        <patternFill patternType="none">
          <fgColor indexed="64"/>
          <bgColor indexed="65"/>
        </patternFill>
      </fill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fill>
        <patternFill patternType="none">
          <fgColor indexed="64"/>
          <bgColor indexed="65"/>
        </patternFill>
      </fill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fill>
        <patternFill patternType="none">
          <fgColor indexed="64"/>
          <bgColor indexed="65"/>
        </patternFill>
      </fill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fill>
        <patternFill patternType="none">
          <fgColor indexed="64"/>
          <bgColor indexed="65"/>
        </patternFill>
      </fill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fill>
        <patternFill patternType="none">
          <fgColor indexed="64"/>
          <bgColor indexed="65"/>
        </patternFill>
      </fill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fill>
        <patternFill patternType="none">
          <fgColor indexed="64"/>
          <bgColor indexed="65"/>
        </patternFill>
      </fill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fill>
        <patternFill patternType="none">
          <fgColor indexed="64"/>
          <bgColor indexed="65"/>
        </patternFill>
      </fill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fill>
        <patternFill patternType="none">
          <fgColor indexed="64"/>
          <bgColor indexed="65"/>
        </patternFill>
      </fill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fill>
        <patternFill patternType="none">
          <fgColor indexed="64"/>
          <bgColor indexed="65"/>
        </patternFill>
      </fill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fill>
        <patternFill patternType="none">
          <fgColor indexed="64"/>
          <bgColor indexed="65"/>
        </patternFill>
      </fill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fill>
        <patternFill patternType="none">
          <fgColor indexed="64"/>
          <bgColor indexed="65"/>
        </patternFill>
      </fill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fill>
        <patternFill patternType="none">
          <fgColor indexed="64"/>
          <bgColor indexed="65"/>
        </patternFill>
      </fill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fill>
        <patternFill patternType="none">
          <fgColor indexed="64"/>
          <bgColor indexed="65"/>
        </patternFill>
      </fill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fill>
        <patternFill patternType="none">
          <fgColor indexed="64"/>
          <bgColor indexed="65"/>
        </patternFill>
      </fill>
      <protection locked="0" hidden="1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ptos Narrow"/>
        <family val="2"/>
        <charset val="238"/>
        <scheme val="minor"/>
      </font>
      <fill>
        <patternFill patternType="none">
          <fgColor indexed="64"/>
          <bgColor indexed="65"/>
        </patternFill>
      </fill>
      <protection locked="0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none">
          <fgColor indexed="64"/>
          <bgColor indexed="65"/>
        </patternFill>
      </fill>
      <protection locked="0" hidden="1"/>
    </dxf>
    <dxf>
      <numFmt numFmtId="3" formatCode="#,##0"/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charset val="238"/>
        <scheme val="none"/>
      </font>
    </dxf>
    <dxf>
      <numFmt numFmtId="164" formatCode="0.0%"/>
    </dxf>
    <dxf>
      <fill>
        <patternFill>
          <bgColor rgb="FF92D050"/>
        </patternFill>
      </fill>
    </dxf>
    <dxf>
      <numFmt numFmtId="1" formatCode="0"/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numFmt numFmtId="165" formatCode="0.0"/>
    </dxf>
    <dxf>
      <numFmt numFmtId="165" formatCode="0.0"/>
    </dxf>
    <dxf>
      <numFmt numFmtId="165" formatCode="0.0"/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theme="0"/>
      </font>
      <fill>
        <patternFill>
          <fgColor theme="0"/>
          <bgColor theme="0"/>
        </patternFill>
      </fill>
      <border>
        <vertical/>
        <horizontal/>
      </border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bgColor theme="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/>
      </font>
      <fill>
        <patternFill>
          <fgColor theme="0"/>
          <bgColor theme="0"/>
        </patternFill>
      </fill>
      <border>
        <vertical/>
        <horizontal/>
      </border>
    </dxf>
    <dxf>
      <font>
        <strike val="0"/>
        <color theme="0"/>
      </font>
      <fill>
        <patternFill>
          <bgColor theme="0"/>
        </patternFill>
      </fill>
    </dxf>
    <dxf>
      <numFmt numFmtId="165" formatCode="0.0"/>
    </dxf>
    <dxf>
      <numFmt numFmtId="165" formatCode="0.0"/>
    </dxf>
    <dxf>
      <numFmt numFmtId="165" formatCode="0.0"/>
    </dxf>
    <dxf>
      <numFmt numFmtId="165" formatCode="0.0"/>
    </dxf>
    <dxf>
      <numFmt numFmtId="1" formatCode="0"/>
    </dxf>
    <dxf>
      <numFmt numFmtId="1" formatCode="0"/>
    </dxf>
    <dxf>
      <numFmt numFmtId="1" formatCode="0"/>
    </dxf>
    <dxf>
      <font>
        <color theme="0"/>
      </font>
      <fill>
        <patternFill>
          <fgColor theme="0"/>
          <bgColor theme="0"/>
        </patternFill>
      </fill>
      <border>
        <vertical/>
        <horizontal/>
      </border>
    </dxf>
    <dxf>
      <font>
        <b/>
        <i val="0"/>
        <color rgb="FFFF0000"/>
      </font>
    </dxf>
    <dxf>
      <font>
        <b/>
        <i val="0"/>
        <color rgb="FF00B050"/>
      </font>
    </dxf>
    <dxf>
      <font>
        <color theme="0"/>
      </font>
      <fill>
        <patternFill>
          <bgColor theme="0"/>
        </patternFill>
      </fill>
    </dxf>
    <dxf>
      <font>
        <strike val="0"/>
        <color theme="0"/>
      </font>
      <fill>
        <patternFill>
          <bgColor theme="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microsoft.com/office/2023/09/relationships/Python" Target="pytho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microsoft.com/office/2017/06/relationships/rdRichValueTypes" Target="richData/rdRichValueTyp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microsoft.com/office/2017/06/relationships/rdRichValueStructure" Target="richData/rdrichvaluestructur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tyles" Target="styles.xml"/><Relationship Id="rId30" Type="http://schemas.microsoft.com/office/2017/06/relationships/rdRichValue" Target="richData/rdrichvalue.xml"/><Relationship Id="rId35" Type="http://schemas.microsoft.com/office/2006/relationships/vbaProject" Target="vbaProject.bin"/><Relationship Id="rId8" Type="http://schemas.openxmlformats.org/officeDocument/2006/relationships/worksheet" Target="worksheets/sheet8.xml"/></Relationships>
</file>

<file path=xl/ctrlProps/ctrlProp1.xml><?xml version="1.0" encoding="utf-8"?>
<formControlPr xmlns="http://schemas.microsoft.com/office/spreadsheetml/2009/9/main" objectType="CheckBox" fmlaLink="je_zdroj" lockText="1" noThreeD="1"/>
</file>

<file path=xl/ctrlProps/ctrlProp10.xml><?xml version="1.0" encoding="utf-8"?>
<formControlPr xmlns="http://schemas.microsoft.com/office/spreadsheetml/2009/9/main" objectType="CheckBox" fmlaLink="je_FVE" lockText="1" noThreeD="1"/>
</file>

<file path=xl/ctrlProps/ctrlProp11.xml><?xml version="1.0" encoding="utf-8"?>
<formControlPr xmlns="http://schemas.microsoft.com/office/spreadsheetml/2009/9/main" objectType="Button" lockText="1"/>
</file>

<file path=xl/ctrlProps/ctrlProp12.xml><?xml version="1.0" encoding="utf-8"?>
<formControlPr xmlns="http://schemas.microsoft.com/office/spreadsheetml/2009/9/main" objectType="Button" lockText="1"/>
</file>

<file path=xl/ctrlProps/ctrlProp13.xml><?xml version="1.0" encoding="utf-8"?>
<formControlPr xmlns="http://schemas.microsoft.com/office/spreadsheetml/2009/9/main" objectType="CheckBox" checked="Checked" fmlaLink="je_zateplení" lockText="1" noThreeD="1"/>
</file>

<file path=xl/ctrlProps/ctrlProp14.xml><?xml version="1.0" encoding="utf-8"?>
<formControlPr xmlns="http://schemas.microsoft.com/office/spreadsheetml/2009/9/main" objectType="Button" lockText="1"/>
</file>

<file path=xl/ctrlProps/ctrlProp15.xml><?xml version="1.0" encoding="utf-8"?>
<formControlPr xmlns="http://schemas.microsoft.com/office/spreadsheetml/2009/9/main" objectType="Button" lockText="1"/>
</file>

<file path=xl/ctrlProps/ctrlProp16.xml><?xml version="1.0" encoding="utf-8"?>
<formControlPr xmlns="http://schemas.microsoft.com/office/spreadsheetml/2009/9/main" objectType="Button" lockText="1"/>
</file>

<file path=xl/ctrlProps/ctrlProp17.xml><?xml version="1.0" encoding="utf-8"?>
<formControlPr xmlns="http://schemas.microsoft.com/office/spreadsheetml/2009/9/main" objectType="Button" lockText="1"/>
</file>

<file path=xl/ctrlProps/ctrlProp18.xml><?xml version="1.0" encoding="utf-8"?>
<formControlPr xmlns="http://schemas.microsoft.com/office/spreadsheetml/2009/9/main" objectType="Button" lockText="1"/>
</file>

<file path=xl/ctrlProps/ctrlProp19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CheckBox" fmlaLink="je_rekuperace" lockText="1" noThreeD="1"/>
</file>

<file path=xl/ctrlProps/ctrlProp20.xml><?xml version="1.0" encoding="utf-8"?>
<formControlPr xmlns="http://schemas.microsoft.com/office/spreadsheetml/2009/9/main" objectType="Button" lockText="1"/>
</file>

<file path=xl/ctrlProps/ctrlProp21.xml><?xml version="1.0" encoding="utf-8"?>
<formControlPr xmlns="http://schemas.microsoft.com/office/spreadsheetml/2009/9/main" objectType="Button" lockText="1"/>
</file>

<file path=xl/ctrlProps/ctrlProp22.xml><?xml version="1.0" encoding="utf-8"?>
<formControlPr xmlns="http://schemas.microsoft.com/office/spreadsheetml/2009/9/main" objectType="Button" lockText="1"/>
</file>

<file path=xl/ctrlProps/ctrlProp23.xml><?xml version="1.0" encoding="utf-8"?>
<formControlPr xmlns="http://schemas.microsoft.com/office/spreadsheetml/2009/9/main" objectType="Button" lockText="1"/>
</file>

<file path=xl/ctrlProps/ctrlProp24.xml><?xml version="1.0" encoding="utf-8"?>
<formControlPr xmlns="http://schemas.microsoft.com/office/spreadsheetml/2009/9/main" objectType="Button" lockText="1"/>
</file>

<file path=xl/ctrlProps/ctrlProp25.xml><?xml version="1.0" encoding="utf-8"?>
<formControlPr xmlns="http://schemas.microsoft.com/office/spreadsheetml/2009/9/main" objectType="Button" lockText="1"/>
</file>

<file path=xl/ctrlProps/ctrlProp26.xml><?xml version="1.0" encoding="utf-8"?>
<formControlPr xmlns="http://schemas.microsoft.com/office/spreadsheetml/2009/9/main" objectType="Button" lockText="1"/>
</file>

<file path=xl/ctrlProps/ctrlProp27.xml><?xml version="1.0" encoding="utf-8"?>
<formControlPr xmlns="http://schemas.microsoft.com/office/spreadsheetml/2009/9/main" objectType="Button" lockText="1"/>
</file>

<file path=xl/ctrlProps/ctrlProp28.xml><?xml version="1.0" encoding="utf-8"?>
<formControlPr xmlns="http://schemas.microsoft.com/office/spreadsheetml/2009/9/main" objectType="Button" lockText="1"/>
</file>

<file path=xl/ctrlProps/ctrlProp29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CheckBox" fmlaLink="je_osvětlení" lockText="1" noThreeD="1"/>
</file>

<file path=xl/ctrlProps/ctrlProp30.xml><?xml version="1.0" encoding="utf-8"?>
<formControlPr xmlns="http://schemas.microsoft.com/office/spreadsheetml/2009/9/main" objectType="Button" lockText="1"/>
</file>

<file path=xl/ctrlProps/ctrlProp31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ctrlProps/ctrlProp8.xml><?xml version="1.0" encoding="utf-8"?>
<formControlPr xmlns="http://schemas.microsoft.com/office/spreadsheetml/2009/9/main" objectType="Button" lockText="1"/>
</file>

<file path=xl/ctrlProps/ctrlProp9.xml><?xml version="1.0" encoding="utf-8"?>
<formControlPr xmlns="http://schemas.microsoft.com/office/spreadsheetml/2009/9/main" objectType="CheckBox" fmlaLink="AdminMode" lockText="1" noThreeD="1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21</xdr:row>
          <xdr:rowOff>28575</xdr:rowOff>
        </xdr:from>
        <xdr:to>
          <xdr:col>1</xdr:col>
          <xdr:colOff>1285875</xdr:colOff>
          <xdr:row>21</xdr:row>
          <xdr:rowOff>409575</xdr:rowOff>
        </xdr:to>
        <xdr:sp macro="" textlink="">
          <xdr:nvSpPr>
            <xdr:cNvPr id="29720" name="CBZdroj" hidden="1">
              <a:extLst>
                <a:ext uri="{63B3BB69-23CF-44E3-9099-C40C66FF867C}">
                  <a14:compatExt spid="_x0000_s29720"/>
                </a:ext>
                <a:ext uri="{FF2B5EF4-FFF2-40B4-BE49-F238E27FC236}">
                  <a16:creationId xmlns:a16="http://schemas.microsoft.com/office/drawing/2014/main" id="{00000000-0008-0000-0000-000018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19</xdr:row>
          <xdr:rowOff>47625</xdr:rowOff>
        </xdr:from>
        <xdr:to>
          <xdr:col>1</xdr:col>
          <xdr:colOff>1285875</xdr:colOff>
          <xdr:row>19</xdr:row>
          <xdr:rowOff>428625</xdr:rowOff>
        </xdr:to>
        <xdr:sp macro="" textlink="">
          <xdr:nvSpPr>
            <xdr:cNvPr id="29721" name="CBRekuperace" hidden="1">
              <a:extLst>
                <a:ext uri="{63B3BB69-23CF-44E3-9099-C40C66FF867C}">
                  <a14:compatExt spid="_x0000_s29721"/>
                </a:ext>
                <a:ext uri="{FF2B5EF4-FFF2-40B4-BE49-F238E27FC236}">
                  <a16:creationId xmlns:a16="http://schemas.microsoft.com/office/drawing/2014/main" id="{00000000-0008-0000-0000-000019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20</xdr:row>
          <xdr:rowOff>28575</xdr:rowOff>
        </xdr:from>
        <xdr:to>
          <xdr:col>1</xdr:col>
          <xdr:colOff>1285875</xdr:colOff>
          <xdr:row>20</xdr:row>
          <xdr:rowOff>419100</xdr:rowOff>
        </xdr:to>
        <xdr:sp macro="" textlink="">
          <xdr:nvSpPr>
            <xdr:cNvPr id="29722" name="CBOsvětlení" hidden="1">
              <a:extLst>
                <a:ext uri="{63B3BB69-23CF-44E3-9099-C40C66FF867C}">
                  <a14:compatExt spid="_x0000_s29722"/>
                </a:ext>
                <a:ext uri="{FF2B5EF4-FFF2-40B4-BE49-F238E27FC236}">
                  <a16:creationId xmlns:a16="http://schemas.microsoft.com/office/drawing/2014/main" id="{00000000-0008-0000-0000-00001A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1781175</xdr:colOff>
          <xdr:row>101</xdr:row>
          <xdr:rowOff>161925</xdr:rowOff>
        </xdr:from>
        <xdr:to>
          <xdr:col>7</xdr:col>
          <xdr:colOff>0</xdr:colOff>
          <xdr:row>105</xdr:row>
          <xdr:rowOff>142875</xdr:rowOff>
        </xdr:to>
        <xdr:sp macro="" textlink="">
          <xdr:nvSpPr>
            <xdr:cNvPr id="29723" name="BtnResetAll" hidden="1">
              <a:extLst>
                <a:ext uri="{63B3BB69-23CF-44E3-9099-C40C66FF867C}">
                  <a14:compatExt spid="_x0000_s29723"/>
                </a:ext>
                <a:ext uri="{FF2B5EF4-FFF2-40B4-BE49-F238E27FC236}">
                  <a16:creationId xmlns:a16="http://schemas.microsoft.com/office/drawing/2014/main" id="{00000000-0008-0000-0000-00001B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cs-CZ" sz="1600" b="1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RESET hodnot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101</xdr:row>
          <xdr:rowOff>161925</xdr:rowOff>
        </xdr:from>
        <xdr:to>
          <xdr:col>2</xdr:col>
          <xdr:colOff>0</xdr:colOff>
          <xdr:row>105</xdr:row>
          <xdr:rowOff>142875</xdr:rowOff>
        </xdr:to>
        <xdr:sp macro="" textlink="">
          <xdr:nvSpPr>
            <xdr:cNvPr id="29724" name="BtnGenerForm" hidden="1">
              <a:extLst>
                <a:ext uri="{63B3BB69-23CF-44E3-9099-C40C66FF867C}">
                  <a14:compatExt spid="_x0000_s29724"/>
                </a:ext>
                <a:ext uri="{FF2B5EF4-FFF2-40B4-BE49-F238E27FC236}">
                  <a16:creationId xmlns:a16="http://schemas.microsoft.com/office/drawing/2014/main" id="{00000000-0008-0000-0000-00001C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cs-CZ" sz="1600" b="1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Generování formuláře pro podpis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17</xdr:row>
          <xdr:rowOff>381000</xdr:rowOff>
        </xdr:from>
        <xdr:to>
          <xdr:col>6</xdr:col>
          <xdr:colOff>1333500</xdr:colOff>
          <xdr:row>18</xdr:row>
          <xdr:rowOff>285750</xdr:rowOff>
        </xdr:to>
        <xdr:sp macro="" textlink="">
          <xdr:nvSpPr>
            <xdr:cNvPr id="29725" name="BtnShowHelp" descr="Přejít na manuál" hidden="1">
              <a:extLst>
                <a:ext uri="{63B3BB69-23CF-44E3-9099-C40C66FF867C}">
                  <a14:compatExt spid="_x0000_s29725"/>
                </a:ext>
                <a:ext uri="{FF2B5EF4-FFF2-40B4-BE49-F238E27FC236}">
                  <a16:creationId xmlns:a16="http://schemas.microsoft.com/office/drawing/2014/main" id="{00000000-0008-0000-0000-00001D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cs-CZ" sz="1400" b="1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Zobrazit nápovědu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104775</xdr:colOff>
          <xdr:row>19</xdr:row>
          <xdr:rowOff>323850</xdr:rowOff>
        </xdr:from>
        <xdr:to>
          <xdr:col>6</xdr:col>
          <xdr:colOff>1333500</xdr:colOff>
          <xdr:row>20</xdr:row>
          <xdr:rowOff>228600</xdr:rowOff>
        </xdr:to>
        <xdr:sp macro="" textlink="">
          <xdr:nvSpPr>
            <xdr:cNvPr id="29726" name="BtnHideHelp" descr="Přejít na manuál" hidden="1">
              <a:extLst>
                <a:ext uri="{63B3BB69-23CF-44E3-9099-C40C66FF867C}">
                  <a14:compatExt spid="_x0000_s29726"/>
                </a:ext>
                <a:ext uri="{FF2B5EF4-FFF2-40B4-BE49-F238E27FC236}">
                  <a16:creationId xmlns:a16="http://schemas.microsoft.com/office/drawing/2014/main" id="{00000000-0008-0000-0000-00001E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2004" rIns="36576" bIns="32004" anchor="ctr" upright="1"/>
            <a:lstStyle/>
            <a:p>
              <a:pPr algn="ctr" rtl="0">
                <a:defRPr sz="1000"/>
              </a:pPr>
              <a:r>
                <a:rPr lang="cs-CZ" sz="1400" b="1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Skrýt nápovědu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2581275</xdr:colOff>
          <xdr:row>101</xdr:row>
          <xdr:rowOff>161925</xdr:rowOff>
        </xdr:from>
        <xdr:to>
          <xdr:col>4</xdr:col>
          <xdr:colOff>1447800</xdr:colOff>
          <xdr:row>105</xdr:row>
          <xdr:rowOff>142875</xdr:rowOff>
        </xdr:to>
        <xdr:sp macro="" textlink="">
          <xdr:nvSpPr>
            <xdr:cNvPr id="29727" name="BtnExport" hidden="1">
              <a:extLst>
                <a:ext uri="{63B3BB69-23CF-44E3-9099-C40C66FF867C}">
                  <a14:compatExt spid="_x0000_s29727"/>
                </a:ext>
                <a:ext uri="{FF2B5EF4-FFF2-40B4-BE49-F238E27FC236}">
                  <a16:creationId xmlns:a16="http://schemas.microsoft.com/office/drawing/2014/main" id="{00000000-0008-0000-0000-00001F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cs-CZ" sz="1600" b="1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Export dat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2</xdr:col>
      <xdr:colOff>314325</xdr:colOff>
      <xdr:row>0</xdr:row>
      <xdr:rowOff>95250</xdr:rowOff>
    </xdr:from>
    <xdr:to>
      <xdr:col>2</xdr:col>
      <xdr:colOff>1990725</xdr:colOff>
      <xdr:row>1</xdr:row>
      <xdr:rowOff>58800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3225" y="95250"/>
          <a:ext cx="1676400" cy="820800"/>
        </a:xfrm>
        <a:prstGeom prst="rect">
          <a:avLst/>
        </a:prstGeom>
        <a:noFill/>
        <a:ln>
          <a:noFill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</xdr:colOff>
          <xdr:row>107</xdr:row>
          <xdr:rowOff>171450</xdr:rowOff>
        </xdr:from>
        <xdr:to>
          <xdr:col>1</xdr:col>
          <xdr:colOff>914400</xdr:colOff>
          <xdr:row>109</xdr:row>
          <xdr:rowOff>9525</xdr:rowOff>
        </xdr:to>
        <xdr:sp macro="" textlink="">
          <xdr:nvSpPr>
            <xdr:cNvPr id="29728" name="CBAdmin" hidden="1">
              <a:extLst>
                <a:ext uri="{63B3BB69-23CF-44E3-9099-C40C66FF867C}">
                  <a14:compatExt spid="_x0000_s29728"/>
                </a:ext>
                <a:ext uri="{FF2B5EF4-FFF2-40B4-BE49-F238E27FC236}">
                  <a16:creationId xmlns:a16="http://schemas.microsoft.com/office/drawing/2014/main" id="{00000000-0008-0000-0000-000020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cs-CZ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Admin MOD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22</xdr:row>
          <xdr:rowOff>38100</xdr:rowOff>
        </xdr:from>
        <xdr:to>
          <xdr:col>1</xdr:col>
          <xdr:colOff>1295400</xdr:colOff>
          <xdr:row>22</xdr:row>
          <xdr:rowOff>428625</xdr:rowOff>
        </xdr:to>
        <xdr:sp macro="" textlink="">
          <xdr:nvSpPr>
            <xdr:cNvPr id="29732" name="CBFVE" hidden="1">
              <a:extLst>
                <a:ext uri="{63B3BB69-23CF-44E3-9099-C40C66FF867C}">
                  <a14:compatExt spid="_x0000_s29732"/>
                </a:ext>
                <a:ext uri="{FF2B5EF4-FFF2-40B4-BE49-F238E27FC236}">
                  <a16:creationId xmlns:a16="http://schemas.microsoft.com/office/drawing/2014/main" id="{00000000-0008-0000-0000-00002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</xdr:col>
      <xdr:colOff>125801</xdr:colOff>
      <xdr:row>0</xdr:row>
      <xdr:rowOff>80873</xdr:rowOff>
    </xdr:from>
    <xdr:to>
      <xdr:col>1</xdr:col>
      <xdr:colOff>2149001</xdr:colOff>
      <xdr:row>1</xdr:row>
      <xdr:rowOff>127223</xdr:rowOff>
    </xdr:to>
    <xdr:pic>
      <xdr:nvPicPr>
        <xdr:cNvPr id="7" name="Picture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4876" y="80873"/>
          <a:ext cx="2023200" cy="90360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400050</xdr:colOff>
          <xdr:row>101</xdr:row>
          <xdr:rowOff>161925</xdr:rowOff>
        </xdr:from>
        <xdr:to>
          <xdr:col>2</xdr:col>
          <xdr:colOff>2914650</xdr:colOff>
          <xdr:row>105</xdr:row>
          <xdr:rowOff>142875</xdr:rowOff>
        </xdr:to>
        <xdr:sp macro="" textlink="">
          <xdr:nvSpPr>
            <xdr:cNvPr id="29734" name="BtnBackup" descr="Export dat do souboru bez maker" hidden="1">
              <a:extLst>
                <a:ext uri="{63B3BB69-23CF-44E3-9099-C40C66FF867C}">
                  <a14:compatExt spid="_x0000_s29734"/>
                </a:ext>
                <a:ext uri="{FF2B5EF4-FFF2-40B4-BE49-F238E27FC236}">
                  <a16:creationId xmlns:a16="http://schemas.microsoft.com/office/drawing/2014/main" id="{00000000-0008-0000-0000-000026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cs-CZ" sz="1600" b="1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Uložení dat do souboru bez maker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3324225</xdr:colOff>
          <xdr:row>101</xdr:row>
          <xdr:rowOff>161925</xdr:rowOff>
        </xdr:from>
        <xdr:to>
          <xdr:col>3</xdr:col>
          <xdr:colOff>2162175</xdr:colOff>
          <xdr:row>105</xdr:row>
          <xdr:rowOff>142875</xdr:rowOff>
        </xdr:to>
        <xdr:sp macro="" textlink="">
          <xdr:nvSpPr>
            <xdr:cNvPr id="29735" name="BtnRestore" hidden="1">
              <a:extLst>
                <a:ext uri="{63B3BB69-23CF-44E3-9099-C40C66FF867C}">
                  <a14:compatExt spid="_x0000_s29735"/>
                </a:ext>
                <a:ext uri="{FF2B5EF4-FFF2-40B4-BE49-F238E27FC236}">
                  <a16:creationId xmlns:a16="http://schemas.microsoft.com/office/drawing/2014/main" id="{00000000-0008-0000-0000-000027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cs-CZ" sz="1600" b="1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Načtení dat ze souboru bez maker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19050</xdr:colOff>
          <xdr:row>18</xdr:row>
          <xdr:rowOff>9525</xdr:rowOff>
        </xdr:from>
        <xdr:to>
          <xdr:col>1</xdr:col>
          <xdr:colOff>1285875</xdr:colOff>
          <xdr:row>18</xdr:row>
          <xdr:rowOff>390525</xdr:rowOff>
        </xdr:to>
        <xdr:sp macro="" textlink="">
          <xdr:nvSpPr>
            <xdr:cNvPr id="29743" name="CBZateplení" hidden="1">
              <a:extLst>
                <a:ext uri="{63B3BB69-23CF-44E3-9099-C40C66FF867C}">
                  <a14:compatExt spid="_x0000_s29743"/>
                </a:ext>
                <a:ext uri="{FF2B5EF4-FFF2-40B4-BE49-F238E27FC236}">
                  <a16:creationId xmlns:a16="http://schemas.microsoft.com/office/drawing/2014/main" id="{00000000-0008-0000-0000-00002F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35</xdr:row>
          <xdr:rowOff>28575</xdr:rowOff>
        </xdr:from>
        <xdr:to>
          <xdr:col>2</xdr:col>
          <xdr:colOff>0</xdr:colOff>
          <xdr:row>35</xdr:row>
          <xdr:rowOff>247650</xdr:rowOff>
        </xdr:to>
        <xdr:sp macro="" textlink="">
          <xdr:nvSpPr>
            <xdr:cNvPr id="29744" name="BtnGoRekuperace" hidden="1">
              <a:extLst>
                <a:ext uri="{63B3BB69-23CF-44E3-9099-C40C66FF867C}">
                  <a14:compatExt spid="_x0000_s29744"/>
                </a:ext>
                <a:ext uri="{FF2B5EF4-FFF2-40B4-BE49-F238E27FC236}">
                  <a16:creationId xmlns:a16="http://schemas.microsoft.com/office/drawing/2014/main" id="{00000000-0008-0000-0000-000030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cs-CZ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Rekuperace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37</xdr:row>
          <xdr:rowOff>47625</xdr:rowOff>
        </xdr:from>
        <xdr:to>
          <xdr:col>2</xdr:col>
          <xdr:colOff>0</xdr:colOff>
          <xdr:row>37</xdr:row>
          <xdr:rowOff>266700</xdr:rowOff>
        </xdr:to>
        <xdr:sp macro="" textlink="">
          <xdr:nvSpPr>
            <xdr:cNvPr id="29745" name="BtnGoZdroj" hidden="1">
              <a:extLst>
                <a:ext uri="{63B3BB69-23CF-44E3-9099-C40C66FF867C}">
                  <a14:compatExt spid="_x0000_s29745"/>
                </a:ext>
                <a:ext uri="{FF2B5EF4-FFF2-40B4-BE49-F238E27FC236}">
                  <a16:creationId xmlns:a16="http://schemas.microsoft.com/office/drawing/2014/main" id="{00000000-0008-0000-0000-000031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cs-CZ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Zdroj tepla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34</xdr:row>
          <xdr:rowOff>47625</xdr:rowOff>
        </xdr:from>
        <xdr:to>
          <xdr:col>2</xdr:col>
          <xdr:colOff>0</xdr:colOff>
          <xdr:row>34</xdr:row>
          <xdr:rowOff>266700</xdr:rowOff>
        </xdr:to>
        <xdr:sp macro="" textlink="">
          <xdr:nvSpPr>
            <xdr:cNvPr id="29746" name="BtnGoZateplení" hidden="1">
              <a:extLst>
                <a:ext uri="{63B3BB69-23CF-44E3-9099-C40C66FF867C}">
                  <a14:compatExt spid="_x0000_s29746"/>
                </a:ext>
                <a:ext uri="{FF2B5EF4-FFF2-40B4-BE49-F238E27FC236}">
                  <a16:creationId xmlns:a16="http://schemas.microsoft.com/office/drawing/2014/main" id="{00000000-0008-0000-0000-000032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cs-CZ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Zateplení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36</xdr:row>
          <xdr:rowOff>38100</xdr:rowOff>
        </xdr:from>
        <xdr:to>
          <xdr:col>2</xdr:col>
          <xdr:colOff>0</xdr:colOff>
          <xdr:row>36</xdr:row>
          <xdr:rowOff>257175</xdr:rowOff>
        </xdr:to>
        <xdr:sp macro="" textlink="">
          <xdr:nvSpPr>
            <xdr:cNvPr id="29747" name="BtnGoOsvětlení" hidden="1">
              <a:extLst>
                <a:ext uri="{63B3BB69-23CF-44E3-9099-C40C66FF867C}">
                  <a14:compatExt spid="_x0000_s29747"/>
                </a:ext>
                <a:ext uri="{FF2B5EF4-FFF2-40B4-BE49-F238E27FC236}">
                  <a16:creationId xmlns:a16="http://schemas.microsoft.com/office/drawing/2014/main" id="{00000000-0008-0000-0000-000033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cs-CZ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Osvětlení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38</xdr:row>
          <xdr:rowOff>38100</xdr:rowOff>
        </xdr:from>
        <xdr:to>
          <xdr:col>2</xdr:col>
          <xdr:colOff>0</xdr:colOff>
          <xdr:row>38</xdr:row>
          <xdr:rowOff>257175</xdr:rowOff>
        </xdr:to>
        <xdr:sp macro="" textlink="">
          <xdr:nvSpPr>
            <xdr:cNvPr id="29748" name="BtnGoFVE" hidden="1">
              <a:extLst>
                <a:ext uri="{63B3BB69-23CF-44E3-9099-C40C66FF867C}">
                  <a14:compatExt spid="_x0000_s29748"/>
                </a:ext>
                <a:ext uri="{FF2B5EF4-FFF2-40B4-BE49-F238E27FC236}">
                  <a16:creationId xmlns:a16="http://schemas.microsoft.com/office/drawing/2014/main" id="{00000000-0008-0000-0000-0000347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cs-CZ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FVE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6</xdr:col>
      <xdr:colOff>95268</xdr:colOff>
      <xdr:row>0</xdr:row>
      <xdr:rowOff>161950</xdr:rowOff>
    </xdr:from>
    <xdr:to>
      <xdr:col>6</xdr:col>
      <xdr:colOff>1350030</xdr:colOff>
      <xdr:row>0</xdr:row>
      <xdr:rowOff>478617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2506343" y="161950"/>
          <a:ext cx="1254762" cy="3166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3076575</xdr:colOff>
          <xdr:row>0</xdr:row>
          <xdr:rowOff>123825</xdr:rowOff>
        </xdr:from>
        <xdr:to>
          <xdr:col>3</xdr:col>
          <xdr:colOff>1238250</xdr:colOff>
          <xdr:row>0</xdr:row>
          <xdr:rowOff>485775</xdr:rowOff>
        </xdr:to>
        <xdr:sp macro="" textlink="">
          <xdr:nvSpPr>
            <xdr:cNvPr id="11265" name="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cs-CZ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Zpět na Hlavní list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1733550</xdr:colOff>
          <xdr:row>0</xdr:row>
          <xdr:rowOff>123825</xdr:rowOff>
        </xdr:from>
        <xdr:to>
          <xdr:col>4</xdr:col>
          <xdr:colOff>981075</xdr:colOff>
          <xdr:row>0</xdr:row>
          <xdr:rowOff>485775</xdr:rowOff>
        </xdr:to>
        <xdr:sp macro="" textlink="">
          <xdr:nvSpPr>
            <xdr:cNvPr id="11266" name="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cs-CZ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Reset zateplení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1590675</xdr:colOff>
          <xdr:row>0</xdr:row>
          <xdr:rowOff>114300</xdr:rowOff>
        </xdr:from>
        <xdr:to>
          <xdr:col>2</xdr:col>
          <xdr:colOff>2847975</xdr:colOff>
          <xdr:row>1</xdr:row>
          <xdr:rowOff>142875</xdr:rowOff>
        </xdr:to>
        <xdr:sp macro="" textlink="">
          <xdr:nvSpPr>
            <xdr:cNvPr id="24579" name="Button 3" hidden="1">
              <a:extLst>
                <a:ext uri="{63B3BB69-23CF-44E3-9099-C40C66FF867C}">
                  <a14:compatExt spid="_x0000_s24579"/>
                </a:ext>
                <a:ext uri="{FF2B5EF4-FFF2-40B4-BE49-F238E27FC236}">
                  <a16:creationId xmlns:a16="http://schemas.microsoft.com/office/drawing/2014/main" id="{00000000-0008-0000-0200-000003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cs-CZ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Zpět na Hlavní list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3343275</xdr:colOff>
          <xdr:row>0</xdr:row>
          <xdr:rowOff>114300</xdr:rowOff>
        </xdr:from>
        <xdr:to>
          <xdr:col>3</xdr:col>
          <xdr:colOff>828675</xdr:colOff>
          <xdr:row>1</xdr:row>
          <xdr:rowOff>142875</xdr:rowOff>
        </xdr:to>
        <xdr:sp macro="" textlink="">
          <xdr:nvSpPr>
            <xdr:cNvPr id="24580" name="Button 4" hidden="1">
              <a:extLst>
                <a:ext uri="{63B3BB69-23CF-44E3-9099-C40C66FF867C}">
                  <a14:compatExt spid="_x0000_s24580"/>
                </a:ext>
                <a:ext uri="{FF2B5EF4-FFF2-40B4-BE49-F238E27FC236}">
                  <a16:creationId xmlns:a16="http://schemas.microsoft.com/office/drawing/2014/main" id="{00000000-0008-0000-0200-0000046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cs-CZ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Reset rekuperace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990600</xdr:colOff>
          <xdr:row>0</xdr:row>
          <xdr:rowOff>76200</xdr:rowOff>
        </xdr:from>
        <xdr:to>
          <xdr:col>4</xdr:col>
          <xdr:colOff>1219200</xdr:colOff>
          <xdr:row>1</xdr:row>
          <xdr:rowOff>114300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3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cs-CZ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Zpět na Hlavní list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40</xdr:row>
          <xdr:rowOff>95250</xdr:rowOff>
        </xdr:from>
        <xdr:to>
          <xdr:col>2</xdr:col>
          <xdr:colOff>1438275</xdr:colOff>
          <xdr:row>40</xdr:row>
          <xdr:rowOff>457200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3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cs-CZ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Zpět na Hlavní list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2590800</xdr:colOff>
          <xdr:row>0</xdr:row>
          <xdr:rowOff>76200</xdr:rowOff>
        </xdr:from>
        <xdr:to>
          <xdr:col>3</xdr:col>
          <xdr:colOff>876300</xdr:colOff>
          <xdr:row>1</xdr:row>
          <xdr:rowOff>114300</xdr:rowOff>
        </xdr:to>
        <xdr:sp macro="" textlink="">
          <xdr:nvSpPr>
            <xdr:cNvPr id="3075" name="Button 3" hidden="1">
              <a:extLst>
                <a:ext uri="{63B3BB69-23CF-44E3-9099-C40C66FF867C}">
                  <a14:compatExt spid="_x0000_s3075"/>
                </a:ext>
                <a:ext uri="{FF2B5EF4-FFF2-40B4-BE49-F238E27FC236}">
                  <a16:creationId xmlns:a16="http://schemas.microsoft.com/office/drawing/2014/main" id="{00000000-0008-0000-0300-000003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cs-CZ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Reset osvětlení</a:t>
              </a:r>
            </a:p>
          </xdr:txBody>
        </xdr:sp>
        <xdr:clientData fPrint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0</xdr:colOff>
          <xdr:row>0</xdr:row>
          <xdr:rowOff>104775</xdr:rowOff>
        </xdr:from>
        <xdr:to>
          <xdr:col>4</xdr:col>
          <xdr:colOff>57150</xdr:colOff>
          <xdr:row>1</xdr:row>
          <xdr:rowOff>133350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4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cs-CZ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Zpět na Hlavní list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171450</xdr:colOff>
          <xdr:row>0</xdr:row>
          <xdr:rowOff>104775</xdr:rowOff>
        </xdr:from>
        <xdr:to>
          <xdr:col>4</xdr:col>
          <xdr:colOff>1609725</xdr:colOff>
          <xdr:row>1</xdr:row>
          <xdr:rowOff>133350</xdr:rowOff>
        </xdr:to>
        <xdr:sp macro="" textlink="">
          <xdr:nvSpPr>
            <xdr:cNvPr id="8195" name="Button 3" hidden="1">
              <a:extLst>
                <a:ext uri="{63B3BB69-23CF-44E3-9099-C40C66FF867C}">
                  <a14:compatExt spid="_x0000_s8195"/>
                </a:ext>
                <a:ext uri="{FF2B5EF4-FFF2-40B4-BE49-F238E27FC236}">
                  <a16:creationId xmlns:a16="http://schemas.microsoft.com/office/drawing/2014/main" id="{00000000-0008-0000-0400-00000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cs-CZ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Reset kotel</a:t>
              </a:r>
            </a:p>
          </xdr:txBody>
        </xdr:sp>
        <xdr:clientData fPrintsWithSheet="0"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1609725</xdr:colOff>
          <xdr:row>0</xdr:row>
          <xdr:rowOff>38100</xdr:rowOff>
        </xdr:from>
        <xdr:to>
          <xdr:col>2</xdr:col>
          <xdr:colOff>3048000</xdr:colOff>
          <xdr:row>1</xdr:row>
          <xdr:rowOff>66675</xdr:rowOff>
        </xdr:to>
        <xdr:sp macro="" textlink="">
          <xdr:nvSpPr>
            <xdr:cNvPr id="1025" name="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5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cs-CZ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Zpět na Hlavní list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47625</xdr:colOff>
          <xdr:row>0</xdr:row>
          <xdr:rowOff>38100</xdr:rowOff>
        </xdr:from>
        <xdr:to>
          <xdr:col>2</xdr:col>
          <xdr:colOff>1485900</xdr:colOff>
          <xdr:row>1</xdr:row>
          <xdr:rowOff>66675</xdr:rowOff>
        </xdr:to>
        <xdr:sp macro="" textlink="">
          <xdr:nvSpPr>
            <xdr:cNvPr id="1026" name="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5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cs-CZ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Reset FVE</a:t>
              </a:r>
            </a:p>
          </xdr:txBody>
        </xdr:sp>
        <xdr:clientData fPrintsWithSheet="0"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619139</xdr:colOff>
      <xdr:row>1</xdr:row>
      <xdr:rowOff>10101</xdr:rowOff>
    </xdr:from>
    <xdr:to>
      <xdr:col>7</xdr:col>
      <xdr:colOff>790120</xdr:colOff>
      <xdr:row>2</xdr:row>
      <xdr:rowOff>218985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10239" y="200601"/>
          <a:ext cx="1056806" cy="551784"/>
        </a:xfrm>
        <a:prstGeom prst="rect">
          <a:avLst/>
        </a:prstGeom>
        <a:noFill/>
        <a:ln>
          <a:noFill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542925</xdr:colOff>
          <xdr:row>124</xdr:row>
          <xdr:rowOff>104775</xdr:rowOff>
        </xdr:from>
        <xdr:to>
          <xdr:col>4</xdr:col>
          <xdr:colOff>352425</xdr:colOff>
          <xdr:row>126</xdr:row>
          <xdr:rowOff>161925</xdr:rowOff>
        </xdr:to>
        <xdr:sp macro="" textlink="">
          <xdr:nvSpPr>
            <xdr:cNvPr id="46081" name="Button 1" hidden="1">
              <a:extLst>
                <a:ext uri="{63B3BB69-23CF-44E3-9099-C40C66FF867C}">
                  <a14:compatExt spid="_x0000_s46081"/>
                </a:ext>
                <a:ext uri="{FF2B5EF4-FFF2-40B4-BE49-F238E27FC236}">
                  <a16:creationId xmlns:a16="http://schemas.microsoft.com/office/drawing/2014/main" id="{00000000-0008-0000-0600-000001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cs-CZ" sz="1600" b="1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Tisk formuláře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1152525</xdr:colOff>
          <xdr:row>124</xdr:row>
          <xdr:rowOff>104775</xdr:rowOff>
        </xdr:from>
        <xdr:to>
          <xdr:col>6</xdr:col>
          <xdr:colOff>657225</xdr:colOff>
          <xdr:row>126</xdr:row>
          <xdr:rowOff>161925</xdr:rowOff>
        </xdr:to>
        <xdr:sp macro="" textlink="">
          <xdr:nvSpPr>
            <xdr:cNvPr id="46082" name="Button 2" hidden="1">
              <a:extLst>
                <a:ext uri="{63B3BB69-23CF-44E3-9099-C40C66FF867C}">
                  <a14:compatExt spid="_x0000_s46082"/>
                </a:ext>
                <a:ext uri="{FF2B5EF4-FFF2-40B4-BE49-F238E27FC236}">
                  <a16:creationId xmlns:a16="http://schemas.microsoft.com/office/drawing/2014/main" id="{00000000-0008-0000-0600-000002B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36576" rIns="36576" bIns="36576" anchor="ctr" upright="1"/>
            <a:lstStyle/>
            <a:p>
              <a:pPr algn="ctr" rtl="0">
                <a:defRPr sz="1000"/>
              </a:pPr>
              <a:r>
                <a:rPr lang="cs-CZ" sz="1600" b="1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Tisk formuláře do PDF</a:t>
              </a:r>
            </a:p>
          </xdr:txBody>
        </xdr:sp>
        <xdr:clientData fPrintsWithSheet="0"/>
      </xdr:twoCellAnchor>
    </mc:Choice>
    <mc:Fallback/>
  </mc:AlternateContent>
  <xdr:twoCellAnchor editAs="oneCell">
    <xdr:from>
      <xdr:col>1</xdr:col>
      <xdr:colOff>4</xdr:colOff>
      <xdr:row>1</xdr:row>
      <xdr:rowOff>9533</xdr:rowOff>
    </xdr:from>
    <xdr:to>
      <xdr:col>3</xdr:col>
      <xdr:colOff>45248</xdr:colOff>
      <xdr:row>2</xdr:row>
      <xdr:rowOff>266708</xdr:rowOff>
    </xdr:to>
    <xdr:pic>
      <xdr:nvPicPr>
        <xdr:cNvPr id="3" name="Picture 5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9079" y="200033"/>
          <a:ext cx="1350169" cy="600075"/>
        </a:xfrm>
        <a:prstGeom prst="rect">
          <a:avLst/>
        </a:prstGeom>
      </xdr:spPr>
    </xdr:pic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4</v>
    <v>8</v>
    <v>0</v>
    <v>1</v>
  </rv>
  <rv s="0">
    <v>5</v>
    <v>8</v>
    <v>0</v>
    <v>1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96DF4811-36F0-4764-8FEF-349A12050AC0}" name="TPodpora" displayName="TPodpora" ref="E2:E4" totalsRowShown="0">
  <autoFilter ref="E2:E4" xr:uid="{96DF4811-36F0-4764-8FEF-349A12050AC0}"/>
  <tableColumns count="1">
    <tableColumn id="1" xr3:uid="{0E0DF4D9-A03E-42A8-804E-3AA50C21DBEA}" name="Podpora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7628079-0BED-4148-B545-57AC6EE0DE36}" name="TStáříKotle" displayName="TStáříKotle" ref="I7:I11" totalsRowShown="0">
  <autoFilter ref="I7:I11" xr:uid="{97628079-0BED-4148-B545-57AC6EE0DE36}"/>
  <tableColumns count="1">
    <tableColumn id="1" xr3:uid="{70B4F0EF-CA27-42E8-8FAC-5CD3EF3A781C}" name="Stáří kotle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9C610411-F7F8-4EB0-BE20-4EE22D39C007}" name="TStaréKotle" displayName="TStaréKotle" ref="B7:G14" totalsRowShown="0">
  <autoFilter ref="B7:G14" xr:uid="{9C610411-F7F8-4EB0-BE20-4EE22D39C007}"/>
  <tableColumns count="6">
    <tableColumn id="1" xr3:uid="{70E44D93-5DAA-4ECF-9065-2ECC82786F6F}" name="kotel na tuhá paliva"/>
    <tableColumn id="2" xr3:uid="{0F019E04-4122-44E5-8BBB-798F09E5D15F}" name="kotel na zemní plyn"/>
    <tableColumn id="3" xr3:uid="{1B3DADBB-DF5E-4C14-A8E6-F5818DB42A50}" name="elektrokotel"/>
    <tableColumn id="4" xr3:uid="{B1424B7C-FF9D-4A03-A15C-1B1946AA3C23}" name="kotel na topný olej"/>
    <tableColumn id="5" xr3:uid="{590548A6-A55A-47E5-A34B-D4FC4908B6D1}" name="tepelné čerpadlo"/>
    <tableColumn id="6" xr3:uid="{70A6721F-A3BE-40EB-A215-1FA9A0AB9A1A}" name="centrální zásobování teplem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F3D141EB-4DCE-4B9F-A07B-6D15FA4134BD}" name="TTypSZT" displayName="TTypSZT" ref="K7:K9" totalsRowShown="0">
  <autoFilter ref="K7:K9" xr:uid="{F3D141EB-4DCE-4B9F-A07B-6D15FA4134BD}"/>
  <tableColumns count="1">
    <tableColumn id="1" xr3:uid="{BDE0A9BA-4D3C-4C6D-B484-A3AF43E5FB2F}" name="typ SZT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78A5D5A-DD97-4821-9126-6EA923DEBAC0}" name="TStarýKotelHelp" displayName="TStarýKotelHelp" ref="M7:O14" totalsRowShown="0">
  <autoFilter ref="M7:O14" xr:uid="{678A5D5A-DD97-4821-9126-6EA923DEBAC0}"/>
  <sortState xmlns:xlrd2="http://schemas.microsoft.com/office/spreadsheetml/2017/richdata2" ref="M8:N14">
    <sortCondition ref="M7:M14"/>
  </sortState>
  <tableColumns count="3">
    <tableColumn id="1" xr3:uid="{5A5711D8-81FE-47F8-AA47-A06FBF501FD6}" name="Nositel"/>
    <tableColumn id="2" xr3:uid="{035EF6F3-D414-456D-B08D-6ED2350D860C}" name="Jednotka"/>
    <tableColumn id="4" xr3:uid="{C8470F9A-9A26-4A41-93E7-AD3E7CD5C8D9}" name="Text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1D45526-00DC-435B-B97E-1551E2BECF44}" name="TEtaZdrojOld" displayName="TEtaZdrojOld" ref="V7:AB11" totalsRowShown="0">
  <autoFilter ref="V7:AB11" xr:uid="{11D45526-00DC-435B-B97E-1551E2BECF44}"/>
  <tableColumns count="7">
    <tableColumn id="1" xr3:uid="{F6E51F0A-191A-44AB-9E46-46BA4B5A021F}" name="Období"/>
    <tableColumn id="2" xr3:uid="{9131E7E6-1F4E-4313-B319-7D8569834ED6}" name="kotel na tuhá paliva"/>
    <tableColumn id="3" xr3:uid="{38CE7791-43BF-4EB1-A0CC-13E16D5CA227}" name="kotel na zemní plyn"/>
    <tableColumn id="4" xr3:uid="{44DEE365-F7E8-4F94-AF4D-60FCEB818A63}" name="elektrokotel"/>
    <tableColumn id="5" xr3:uid="{B14B00BB-57DA-481C-89AC-28E37DD43DFF}" name="kotel na topný olej"/>
    <tableColumn id="6" xr3:uid="{0E977D55-D0C5-47E1-BF12-3112FB66499A}" name="tepelné čerpadlo"/>
    <tableColumn id="7" xr3:uid="{A59590A5-7F70-4FD5-9130-ED994C585275}" name="centrální zásobování teplem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B7180B00-6584-43BD-92D1-5344EB0BEA71}" name="TNovýKotel" displayName="TNovýKotel" ref="B29:G33" totalsRowShown="0">
  <autoFilter ref="B29:G33" xr:uid="{B7180B00-6584-43BD-92D1-5344EB0BEA71}"/>
  <tableColumns count="6">
    <tableColumn id="1" xr3:uid="{0C9E6F63-ED1A-4E16-A72C-633F29068DA1}" name="kotel"/>
    <tableColumn id="2" xr3:uid="{4E9D2935-434B-448F-90C6-9C4E29C78E94}" name="palivo"/>
    <tableColumn id="3" xr3:uid="{C278E337-C7F5-4CA5-AFDA-22D50E83FC61}" name="minimální účinnost"/>
    <tableColumn id="4" xr3:uid="{CDD1CF4B-1957-4DBE-910E-282827AD7890}" name="defaultní účinnost"/>
    <tableColumn id="5" xr3:uid="{B9353965-5042-4B82-AB3D-1D9F40278090}" name="maximální ůčinnost"/>
    <tableColumn id="6" xr3:uid="{C1BC0571-793B-4EC5-9D5C-C03E4C2E2188}" name="maximální výkon" dataDxfId="40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FFFE5A4E-37AD-4FB1-BAA9-D1E9339C598A}" name="TNositele" displayName="TNositele" ref="C1:Q12" totalsRowShown="0" headerRowDxfId="39" dataDxfId="38">
  <autoFilter ref="C1:Q12" xr:uid="{FFFE5A4E-37AD-4FB1-BAA9-D1E9339C598A}"/>
  <sortState xmlns:xlrd2="http://schemas.microsoft.com/office/spreadsheetml/2017/richdata2" ref="C2:Q12">
    <sortCondition ref="Q1:Q12"/>
  </sortState>
  <tableColumns count="15">
    <tableColumn id="1" xr3:uid="{472401B0-6894-4434-9AD2-F7D23F1DE74D}" name="Nositel" dataDxfId="37"/>
    <tableColumn id="2" xr3:uid="{C2E4CE1F-AD7C-4BD8-8463-E670F3A2380E}" name="Jednotka" dataDxfId="36"/>
    <tableColumn id="3" xr3:uid="{293C0A9D-3F3F-49BB-B8B6-6181D045F7A2}" name="LHV" dataDxfId="35"/>
    <tableColumn id="4" xr3:uid="{3E9E68C5-2FD7-4D4C-8197-9E732F56393D}" name="Jednotka LHV" dataDxfId="34"/>
    <tableColumn id="5" xr3:uid="{858527B5-BB6D-42A8-B90D-B7962D5D8BFE}" name="EF CO2 [kg CO2/GJ]" dataDxfId="33"/>
    <tableColumn id="6" xr3:uid="{475D73E6-DADD-44A7-A40A-2C51DA8BC55D}" name="Cena" dataDxfId="32"/>
    <tableColumn id="7" xr3:uid="{24F8AD32-D4B1-4E7C-A3C2-39ADE6B119BF}" name="Jednotka ceny" dataDxfId="31"/>
    <tableColumn id="8" xr3:uid="{5CBF193B-72DC-4F4F-9A93-6F392C3B01C5}" name="Rozmezí ceny" dataDxfId="30"/>
    <tableColumn id="9" xr3:uid="{3F92CBD3-281D-4664-8EC7-33BDDF563230}" name="TZL_t" dataDxfId="29"/>
    <tableColumn id="10" xr3:uid="{3D67734F-206B-4E92-99E7-225E1EE17539}" name="Jednotka TZL_t" dataDxfId="28"/>
    <tableColumn id="11" xr3:uid="{F3243D5D-D1DB-4379-ACE9-84CDA3D7270A}" name="TZL_kg" dataDxfId="27"/>
    <tableColumn id="12" xr3:uid="{E8AB11A5-64EA-4962-96AC-869CD6D46A4B}" name="Jednotka TZL_kg" dataDxfId="26"/>
    <tableColumn id="13" xr3:uid="{9E4D00B6-F7D4-4AB1-96E2-81009F89EFBA}" name="PM10 [%]" dataDxfId="25"/>
    <tableColumn id="14" xr3:uid="{AA3AF5D3-AF68-4E97-8CBC-24E33EFA0293}" name="PM2,5 [%]" dataDxfId="24"/>
    <tableColumn id="15" xr3:uid="{53F3ADA4-5320-4BF8-9822-1FE4D1864A9B}" name="idx" dataDxfId="23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58C66593-7555-4647-B1CB-B94E8A6FB84F}" name="TKotleTP" displayName="TKotleTP" ref="C29:I45" totalsRowShown="0" headerRowDxfId="22" dataDxfId="21">
  <autoFilter ref="C29:I45" xr:uid="{58C66593-7555-4647-B1CB-B94E8A6FB84F}"/>
  <tableColumns count="7">
    <tableColumn id="1" xr3:uid="{8ED0AF22-58CF-4D7A-96A6-4D16121D9FF8}" name="Kotel - období - palivo" dataDxfId="20"/>
    <tableColumn id="2" xr3:uid="{D37AD261-91FF-4DC9-9869-1C78A14C12A4}" name="TZL" dataDxfId="19"/>
    <tableColumn id="3" xr3:uid="{E6E778A0-D0E7-4090-9451-B42778705243}" name="jednotka" dataDxfId="18"/>
    <tableColumn id="4" xr3:uid="{C71A0A3B-9867-4150-AC43-89FF2D53BD03}" name="TZL2" dataDxfId="17">
      <calculatedColumnFormula>D30/1000</calculatedColumnFormula>
    </tableColumn>
    <tableColumn id="5" xr3:uid="{AA5B414C-BEA7-4ABF-901C-17CE46B9131A}" name="jednotka3" dataDxfId="16"/>
    <tableColumn id="6" xr3:uid="{CF49482F-7CF3-4342-8A47-76CF5F39FD96}" name="PM10 v %" dataDxfId="15"/>
    <tableColumn id="7" xr3:uid="{C360581A-6B0A-4773-AC30-138F8564DAA7}" name="PM2,5 v %" dataDxfId="14"/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EC8BCCF-CD85-4B43-9AE8-C4DDEC223C09}" name="TOsvětlení" displayName="TOsvětlení" ref="A1:G116" totalsRowShown="0" headerRowDxfId="13" dataDxfId="12">
  <autoFilter ref="A1:G116" xr:uid="{5EC8BCCF-CD85-4B43-9AE8-C4DDEC223C09}"/>
  <tableColumns count="7">
    <tableColumn id="1" xr3:uid="{154CA89E-2237-4A42-BA62-A509DC171638}" name="klasika" dataDxfId="11"/>
    <tableColumn id="2" xr3:uid="{00837EA6-C01E-460F-99DE-36EB4BA158D6}" name="halogen" dataDxfId="10"/>
    <tableColumn id="3" xr3:uid="{58DF5259-C989-4B9F-B78A-47197CE231B1}" name="výbojka" dataDxfId="9"/>
    <tableColumn id="4" xr3:uid="{963A96FE-710C-456B-A8D0-F181A7027ADF}" name="CFL" dataDxfId="8"/>
    <tableColumn id="5" xr3:uid="{862481E5-4571-4391-9281-5DB5F419F9B6}" name="zářivka" dataDxfId="7"/>
    <tableColumn id="6" xr3:uid="{77CB8021-A07D-4EC1-836A-D351D2C77459}" name="příkon led" dataDxfId="6"/>
    <tableColumn id="7" xr3:uid="{01C51592-52DF-4B6E-BA00-8E603B34B23C}" name="světelný tok" dataDxfId="5"/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BF5C524-CD99-4469-858B-26F359923F18}" name="TTypickéOsvětlení" displayName="TTypickéOsvětlení" ref="M2:P30" totalsRowShown="0" headerRowDxfId="4">
  <autoFilter ref="M2:P30" xr:uid="{EBF5C524-CD99-4469-858B-26F359923F18}"/>
  <tableColumns count="4">
    <tableColumn id="1" xr3:uid="{4EF0E99C-1FDA-4CC8-8A3E-B1E8B98CFF95}" name="typ" dataDxfId="3"/>
    <tableColumn id="2" xr3:uid="{B2BC6732-356B-4713-B879-DF7250C2280C}" name="příkon" dataDxfId="2"/>
    <tableColumn id="3" xr3:uid="{E4F87F39-EBB5-4418-9035-48C2D338EFFE}" name="světelný tok" dataDxfId="1"/>
    <tableColumn id="4" xr3:uid="{4AADDCC3-ABEB-4CD5-8842-54795129CEB5}" name="lm/W" dataDxfId="0">
      <calculatedColumnFormula>O3/N3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73FC6D95-82CD-49CA-AD90-3241452430A5}" name="TZdrojBudova" displayName="TZdrojBudova" ref="B19:G26" totalsRowShown="0">
  <autoFilter ref="B19:G26" xr:uid="{73FC6D95-82CD-49CA-AD90-3241452430A5}"/>
  <tableColumns count="6">
    <tableColumn id="1" xr3:uid="{969E34C8-7AD5-4992-AD39-9A760F5BC9D1}" name="kotel na tuhá paliva"/>
    <tableColumn id="2" xr3:uid="{DD4B236E-9F55-47CC-8107-349EF7B40FA6}" name="kotel na zemní plyn"/>
    <tableColumn id="3" xr3:uid="{80AEF879-59C3-41B2-BBBD-874B3EDE9E79}" name="elektrokotel"/>
    <tableColumn id="4" xr3:uid="{C72C33EA-8107-4D22-9EA3-105C84EC7547}" name="kotel na topný olej"/>
    <tableColumn id="5" xr3:uid="{C4A16687-21C7-4559-93DA-496AD92B092B}" name="tepelné čerpadlo"/>
    <tableColumn id="6" xr3:uid="{0C698E3D-4B90-4354-8640-8DCA52B5D587}" name="centrální zásobování teplem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821DC455-70C0-429B-B624-ADD56B3FF046}" name="TTypSZTBudova" displayName="TTypSZTBudova" ref="I19:I21" totalsRowShown="0">
  <autoFilter ref="I19:I21" xr:uid="{821DC455-70C0-429B-B624-ADD56B3FF046}"/>
  <tableColumns count="1">
    <tableColumn id="1" xr3:uid="{62CA2308-BED5-42F9-94B3-1E1DA3E0E275}" name="typ SZT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F8C8A39F-F9AD-4F08-B191-BA8C7CB7D663}" name="TZadání" displayName="TZadání" ref="A2:A4" totalsRowShown="0">
  <autoFilter ref="A2:A4" xr:uid="{F8C8A39F-F9AD-4F08-B191-BA8C7CB7D663}"/>
  <tableColumns count="1">
    <tableColumn id="1" xr3:uid="{F2E9C25D-9BA2-4B4E-AD50-1481FEFCE4DA}" name="Zateplení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91B4034D-B948-4669-8F41-7D1D61D627FA}" name="TTypBudovy" displayName="TTypBudovy" ref="C2:C11" totalsRowShown="0">
  <autoFilter ref="C2:C11" xr:uid="{91B4034D-B948-4669-8F41-7D1D61D627FA}"/>
  <tableColumns count="1">
    <tableColumn id="1" xr3:uid="{4E1C8940-E3E7-48F3-AC3B-C9761E45A044}" name="typ budovy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8922F26B-94F4-4B28-AFE3-572F3C5930FF}" name="TObdobíVýstavby" displayName="TObdobíVýstavby" ref="E2:H8" totalsRowShown="0">
  <autoFilter ref="E2:H8" xr:uid="{8922F26B-94F4-4B28-AFE3-572F3C5930FF}"/>
  <tableColumns count="4">
    <tableColumn id="1" xr3:uid="{199E37FD-9984-44EE-B104-2C47F522B105}" name="Období výstavby"/>
    <tableColumn id="2" xr3:uid="{3383C8FB-63F3-4C4D-B7F1-BC8D097C1CB6}" name="Měrná spotřeba energie budovy (kWh/m2) - původní stav"/>
    <tableColumn id="3" xr3:uid="{2FD380D4-B20D-4ED1-A9DE-0C08BB39A39F}" name="Podíl elektřiny" dataDxfId="48"/>
    <tableColumn id="4" xr3:uid="{782F9C05-E412-479E-8171-CF5684F61FEA}" name="Podíl rekuperace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3A0EBC9C-FD52-47BB-863F-BF100B9F189A}" name="Tabulka9" displayName="Tabulka9" ref="K19:L25" totalsRowShown="0">
  <autoFilter ref="K19:L25" xr:uid="{3A0EBC9C-FD52-47BB-863F-BF100B9F189A}"/>
  <tableColumns count="2">
    <tableColumn id="1" xr3:uid="{EABB5262-A8EA-4892-84E8-C5815DD4942D}" name="Zdroj v budově"/>
    <tableColumn id="2" xr3:uid="{7BD3CBFB-EFEF-4A68-AF36-557B080805CA}" name="Účinnost" dataDxfId="47" dataCellStyle="Procenta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F23497AB-9574-485F-A6CF-E702764B86CB}" name="TStřecha" displayName="TStřecha" ref="J2:J5" totalsRowShown="0" headerRowDxfId="46" dataDxfId="45">
  <autoFilter ref="J2:J5" xr:uid="{F23497AB-9574-485F-A6CF-E702764B86CB}"/>
  <tableColumns count="1">
    <tableColumn id="1" xr3:uid="{8C16292E-CA77-4FE6-81D2-17CD69BB7EB5}" name="Střecha" dataDxfId="44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53373B40-C65A-4793-B174-382C76630ED4}" name="TPodlaha" displayName="TPodlaha" ref="L2:L4" totalsRowShown="0" headerRowDxfId="43" dataDxfId="42">
  <autoFilter ref="L2:L4" xr:uid="{53373B40-C65A-4793-B174-382C76630ED4}"/>
  <tableColumns count="1">
    <tableColumn id="1" xr3:uid="{918503DA-AECB-4DDC-830F-F1EADA733B90}" name="Podlaha" dataDxfId="4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13" Type="http://schemas.openxmlformats.org/officeDocument/2006/relationships/ctrlProp" Target="../ctrlProps/ctrlProp11.xml"/><Relationship Id="rId18" Type="http://schemas.openxmlformats.org/officeDocument/2006/relationships/ctrlProp" Target="../ctrlProps/ctrlProp16.xml"/><Relationship Id="rId3" Type="http://schemas.openxmlformats.org/officeDocument/2006/relationships/ctrlProp" Target="../ctrlProps/ctrlProp1.xml"/><Relationship Id="rId21" Type="http://schemas.openxmlformats.org/officeDocument/2006/relationships/comments" Target="../comments1.xml"/><Relationship Id="rId7" Type="http://schemas.openxmlformats.org/officeDocument/2006/relationships/ctrlProp" Target="../ctrlProps/ctrlProp5.xml"/><Relationship Id="rId12" Type="http://schemas.openxmlformats.org/officeDocument/2006/relationships/ctrlProp" Target="../ctrlProps/ctrlProp10.xml"/><Relationship Id="rId17" Type="http://schemas.openxmlformats.org/officeDocument/2006/relationships/ctrlProp" Target="../ctrlProps/ctrlProp15.xml"/><Relationship Id="rId2" Type="http://schemas.openxmlformats.org/officeDocument/2006/relationships/vmlDrawing" Target="../drawings/vmlDrawing1.vml"/><Relationship Id="rId16" Type="http://schemas.openxmlformats.org/officeDocument/2006/relationships/ctrlProp" Target="../ctrlProps/ctrlProp14.xml"/><Relationship Id="rId20" Type="http://schemas.openxmlformats.org/officeDocument/2006/relationships/ctrlProp" Target="../ctrlProps/ctrlProp18.xml"/><Relationship Id="rId1" Type="http://schemas.openxmlformats.org/officeDocument/2006/relationships/drawing" Target="../drawings/drawing1.xml"/><Relationship Id="rId6" Type="http://schemas.openxmlformats.org/officeDocument/2006/relationships/ctrlProp" Target="../ctrlProps/ctrlProp4.xml"/><Relationship Id="rId11" Type="http://schemas.openxmlformats.org/officeDocument/2006/relationships/ctrlProp" Target="../ctrlProps/ctrlProp9.xml"/><Relationship Id="rId5" Type="http://schemas.openxmlformats.org/officeDocument/2006/relationships/ctrlProp" Target="../ctrlProps/ctrlProp3.xml"/><Relationship Id="rId15" Type="http://schemas.openxmlformats.org/officeDocument/2006/relationships/ctrlProp" Target="../ctrlProps/ctrlProp13.xml"/><Relationship Id="rId10" Type="http://schemas.openxmlformats.org/officeDocument/2006/relationships/ctrlProp" Target="../ctrlProps/ctrlProp8.xml"/><Relationship Id="rId19" Type="http://schemas.openxmlformats.org/officeDocument/2006/relationships/ctrlProp" Target="../ctrlProps/ctrlProp17.xml"/><Relationship Id="rId4" Type="http://schemas.openxmlformats.org/officeDocument/2006/relationships/ctrlProp" Target="../ctrlProps/ctrlProp2.xml"/><Relationship Id="rId9" Type="http://schemas.openxmlformats.org/officeDocument/2006/relationships/ctrlProp" Target="../ctrlProps/ctrlProp7.xml"/><Relationship Id="rId14" Type="http://schemas.openxmlformats.org/officeDocument/2006/relationships/ctrlProp" Target="../ctrlProps/ctrlProp12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table" Target="../tables/table2.xml"/><Relationship Id="rId6" Type="http://schemas.openxmlformats.org/officeDocument/2006/relationships/table" Target="../tables/table7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table" Target="../tables/table8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table" Target="../tables/table11.xml"/><Relationship Id="rId1" Type="http://schemas.openxmlformats.org/officeDocument/2006/relationships/table" Target="../tables/table10.xml"/><Relationship Id="rId6" Type="http://schemas.openxmlformats.org/officeDocument/2006/relationships/table" Target="../tables/table15.xml"/><Relationship Id="rId5" Type="http://schemas.openxmlformats.org/officeDocument/2006/relationships/table" Target="../tables/table14.xml"/><Relationship Id="rId4" Type="http://schemas.openxmlformats.org/officeDocument/2006/relationships/table" Target="../tables/table13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7.xml"/><Relationship Id="rId1" Type="http://schemas.openxmlformats.org/officeDocument/2006/relationships/table" Target="../tables/table16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9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0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9.xml"/><Relationship Id="rId1" Type="http://schemas.openxmlformats.org/officeDocument/2006/relationships/table" Target="../tables/table18.xml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8.vml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9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3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4.xml"/><Relationship Id="rId5" Type="http://schemas.openxmlformats.org/officeDocument/2006/relationships/ctrlProp" Target="../ctrlProps/ctrlProp25.xml"/><Relationship Id="rId4" Type="http://schemas.openxmlformats.org/officeDocument/2006/relationships/ctrlProp" Target="../ctrlProps/ctrlProp2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6.xml"/><Relationship Id="rId2" Type="http://schemas.openxmlformats.org/officeDocument/2006/relationships/vmlDrawing" Target="../drawings/vmlDrawing5.vml"/><Relationship Id="rId1" Type="http://schemas.openxmlformats.org/officeDocument/2006/relationships/drawing" Target="../drawings/drawing5.xml"/><Relationship Id="rId4" Type="http://schemas.openxmlformats.org/officeDocument/2006/relationships/ctrlProp" Target="../ctrlProps/ctrlProp27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8.xml"/><Relationship Id="rId2" Type="http://schemas.openxmlformats.org/officeDocument/2006/relationships/vmlDrawing" Target="../drawings/vmlDrawing6.vml"/><Relationship Id="rId1" Type="http://schemas.openxmlformats.org/officeDocument/2006/relationships/drawing" Target="../drawings/drawing6.xml"/><Relationship Id="rId4" Type="http://schemas.openxmlformats.org/officeDocument/2006/relationships/ctrlProp" Target="../ctrlProps/ctrlProp29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31.xml"/><Relationship Id="rId4" Type="http://schemas.openxmlformats.org/officeDocument/2006/relationships/ctrlProp" Target="../ctrlProps/ctrlProp3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BD2A03-233F-43F2-9C4E-28ED5C70E186}">
  <sheetPr codeName="List8"/>
  <dimension ref="A1:AR113"/>
  <sheetViews>
    <sheetView tabSelected="1" workbookViewId="0"/>
  </sheetViews>
  <sheetFormatPr defaultColWidth="0" defaultRowHeight="15" zeroHeight="1"/>
  <cols>
    <col min="1" max="1" width="3.28515625" style="500" customWidth="1"/>
    <col min="2" max="2" width="36.140625" style="507" customWidth="1"/>
    <col min="3" max="4" width="52.7109375" style="507" customWidth="1"/>
    <col min="5" max="5" width="36.42578125" style="507" customWidth="1"/>
    <col min="6" max="6" width="4.85546875" style="507" customWidth="1"/>
    <col min="7" max="7" width="20.7109375" style="507" customWidth="1"/>
    <col min="8" max="8" width="27" style="501" customWidth="1"/>
    <col min="9" max="9" width="10.85546875" style="501" hidden="1" customWidth="1"/>
    <col min="10" max="10" width="14.7109375" style="501" hidden="1" customWidth="1"/>
    <col min="11" max="11" width="11" style="501" hidden="1" customWidth="1"/>
    <col min="12" max="12" width="10.85546875" style="501" hidden="1" customWidth="1"/>
    <col min="13" max="13" width="12.42578125" style="501" hidden="1" customWidth="1"/>
    <col min="14" max="14" width="18.7109375" style="501" hidden="1" customWidth="1"/>
    <col min="15" max="15" width="7.85546875" style="501" hidden="1" customWidth="1"/>
    <col min="16" max="16" width="11.7109375" style="501" hidden="1" customWidth="1"/>
    <col min="17" max="17" width="8.7109375" style="501" hidden="1" customWidth="1"/>
    <col min="18" max="24" width="10.85546875" style="501" hidden="1" customWidth="1"/>
    <col min="25" max="25" width="8.85546875" style="501" hidden="1" customWidth="1"/>
    <col min="26" max="26" width="11.140625" style="501" hidden="1" customWidth="1"/>
    <col min="27" max="27" width="22.42578125" style="501" hidden="1" customWidth="1"/>
    <col min="28" max="28" width="10.85546875" style="501" hidden="1" customWidth="1"/>
    <col min="29" max="44" width="8.85546875" style="501" hidden="1" customWidth="1"/>
    <col min="45" max="16384" width="9.140625" style="507" hidden="1"/>
  </cols>
  <sheetData>
    <row r="1" spans="1:28" s="501" customFormat="1" ht="67.900000000000006" customHeight="1">
      <c r="A1" s="500"/>
      <c r="F1" s="502" t="s">
        <v>743</v>
      </c>
      <c r="G1" s="503"/>
    </row>
    <row r="2" spans="1:28" s="506" customFormat="1" ht="16.149999999999999" customHeight="1">
      <c r="A2" s="504"/>
      <c r="B2" s="505"/>
      <c r="D2" s="507"/>
      <c r="I2" s="508"/>
      <c r="J2" s="508"/>
      <c r="K2" s="508"/>
      <c r="L2" s="508"/>
      <c r="M2" s="508"/>
      <c r="N2" s="508"/>
      <c r="O2" s="508"/>
      <c r="P2" s="508"/>
      <c r="Q2" s="508"/>
      <c r="R2" s="508"/>
      <c r="S2" s="508"/>
      <c r="T2" s="508"/>
      <c r="U2" s="508"/>
      <c r="V2" s="508"/>
      <c r="W2" s="508"/>
      <c r="Z2" s="508"/>
      <c r="AA2" s="508"/>
      <c r="AB2" s="508"/>
    </row>
    <row r="3" spans="1:28" s="506" customFormat="1" ht="23.25" customHeight="1">
      <c r="A3" s="504"/>
      <c r="B3" s="615" t="s">
        <v>744</v>
      </c>
      <c r="C3" s="616"/>
      <c r="D3" s="616"/>
      <c r="E3" s="616"/>
      <c r="G3" s="509" t="s">
        <v>1225</v>
      </c>
      <c r="H3" s="508"/>
      <c r="I3" s="508"/>
      <c r="J3" s="501"/>
      <c r="K3" s="501"/>
      <c r="L3" s="501"/>
      <c r="M3" s="501"/>
      <c r="N3" s="501"/>
      <c r="O3" s="501"/>
      <c r="P3" s="501"/>
      <c r="Q3" s="501"/>
      <c r="R3" s="501"/>
      <c r="S3" s="501"/>
      <c r="T3" s="501"/>
      <c r="U3" s="501"/>
      <c r="V3" s="501"/>
      <c r="W3" s="501"/>
      <c r="X3" s="501"/>
      <c r="Y3" s="508"/>
      <c r="Z3" s="508"/>
      <c r="AA3" s="508"/>
      <c r="AB3" s="508"/>
    </row>
    <row r="4" spans="1:28" s="506" customFormat="1" ht="48.75" customHeight="1">
      <c r="A4" s="504"/>
      <c r="B4" s="617" t="s">
        <v>745</v>
      </c>
      <c r="C4" s="618"/>
      <c r="D4" s="618"/>
      <c r="E4" s="619"/>
      <c r="F4" s="510"/>
      <c r="H4" s="508"/>
      <c r="I4" s="508"/>
      <c r="J4" s="508"/>
      <c r="K4" s="508"/>
      <c r="L4" s="508"/>
      <c r="M4" s="508"/>
      <c r="N4" s="508"/>
      <c r="O4" s="508"/>
      <c r="P4" s="508"/>
      <c r="Q4" s="508"/>
      <c r="R4" s="508"/>
      <c r="S4" s="508"/>
      <c r="T4" s="508"/>
      <c r="U4" s="508"/>
      <c r="V4" s="508"/>
      <c r="W4" s="508"/>
      <c r="X4" s="508"/>
      <c r="Y4" s="508"/>
      <c r="Z4" s="508"/>
      <c r="AA4" s="508"/>
      <c r="AB4" s="508"/>
    </row>
    <row r="5" spans="1:28" ht="36" customHeight="1" thickBot="1">
      <c r="B5" s="412" t="s">
        <v>746</v>
      </c>
      <c r="C5" s="412"/>
      <c r="D5" s="412"/>
      <c r="E5" s="412"/>
      <c r="F5" s="412"/>
      <c r="G5" s="412"/>
      <c r="I5" s="511" t="s">
        <v>17</v>
      </c>
      <c r="J5" s="466" t="s">
        <v>18</v>
      </c>
      <c r="K5" s="466" t="s">
        <v>945</v>
      </c>
      <c r="L5" s="466" t="s">
        <v>229</v>
      </c>
      <c r="M5" s="466" t="s">
        <v>230</v>
      </c>
      <c r="N5" s="466" t="s">
        <v>251</v>
      </c>
      <c r="O5" s="466" t="s">
        <v>252</v>
      </c>
      <c r="P5" s="466" t="s">
        <v>19</v>
      </c>
      <c r="Q5" s="466" t="s">
        <v>20</v>
      </c>
      <c r="R5" s="512"/>
      <c r="S5" s="512"/>
      <c r="T5" s="512"/>
      <c r="U5" s="512"/>
      <c r="V5" s="512"/>
      <c r="W5" s="512"/>
      <c r="Z5" s="512" t="s">
        <v>747</v>
      </c>
      <c r="AA5" s="512" t="s">
        <v>748</v>
      </c>
    </row>
    <row r="6" spans="1:28" s="506" customFormat="1" ht="36" customHeight="1" thickBot="1">
      <c r="A6" s="504"/>
      <c r="B6" s="413" t="s">
        <v>749</v>
      </c>
      <c r="C6" s="620"/>
      <c r="D6" s="621"/>
      <c r="E6" s="621"/>
      <c r="F6" s="621"/>
      <c r="G6" s="622"/>
      <c r="H6" s="164" t="str" cm="1">
        <f t="array" ref="H6">IFERROR(INDEX(Q6:S6,1,P6),"")</f>
        <v>Zadejte název projektu.</v>
      </c>
      <c r="I6" s="513" t="b">
        <v>1</v>
      </c>
      <c r="J6" s="96" t="str">
        <f>IF(AND(I6,L6),C6,"")</f>
        <v/>
      </c>
      <c r="K6" s="96"/>
      <c r="L6" s="96" t="b">
        <f>NOT(ISBLANK(C6))</f>
        <v>0</v>
      </c>
      <c r="M6" s="508" t="b">
        <f>L6</f>
        <v>0</v>
      </c>
      <c r="N6" s="508"/>
      <c r="O6" s="508"/>
      <c r="P6" s="96" cm="1">
        <f t="array" ref="P6">myidx(AND(L6),ISBLANK(C6))</f>
        <v>2</v>
      </c>
      <c r="Q6" s="508" t="s">
        <v>21</v>
      </c>
      <c r="R6" s="508" t="s">
        <v>946</v>
      </c>
      <c r="S6" s="508"/>
      <c r="T6" s="508"/>
      <c r="U6" s="508"/>
      <c r="V6" s="508"/>
      <c r="W6" s="508"/>
      <c r="X6" s="508"/>
      <c r="Y6" s="508"/>
      <c r="Z6" s="508" t="b">
        <f>NOT(ISBLANK(C6))</f>
        <v>0</v>
      </c>
      <c r="AA6" s="508"/>
      <c r="AB6" s="508"/>
    </row>
    <row r="7" spans="1:28" s="506" customFormat="1" ht="36" customHeight="1" thickBot="1">
      <c r="A7" s="504"/>
      <c r="B7" s="413" t="s">
        <v>750</v>
      </c>
      <c r="C7" s="620"/>
      <c r="D7" s="621"/>
      <c r="E7" s="621"/>
      <c r="F7" s="621"/>
      <c r="G7" s="622"/>
      <c r="H7" s="164" t="str" cm="1">
        <f t="array" ref="H7">IFERROR(INDEX(Q7:S7,1,P7),"")</f>
        <v>Zadejte klienta.</v>
      </c>
      <c r="I7" s="513" t="b">
        <v>1</v>
      </c>
      <c r="J7" s="96" t="str">
        <f t="shared" ref="J7:J11" si="0">IF(AND(I7,L7),C7,"")</f>
        <v/>
      </c>
      <c r="K7" s="96"/>
      <c r="L7" s="96" t="b">
        <f t="shared" ref="L7:L11" si="1">NOT(ISBLANK(C7))</f>
        <v>0</v>
      </c>
      <c r="M7" s="508" t="b">
        <f>AND(M6,L7)</f>
        <v>0</v>
      </c>
      <c r="N7" s="508"/>
      <c r="O7" s="508"/>
      <c r="P7" s="96" cm="1">
        <f t="array" ref="P7">myidx(AND(L7),ISBLANK(C7))</f>
        <v>2</v>
      </c>
      <c r="Q7" s="508" t="s">
        <v>21</v>
      </c>
      <c r="R7" s="508" t="s">
        <v>947</v>
      </c>
      <c r="S7" s="508"/>
      <c r="T7" s="508"/>
      <c r="U7" s="508"/>
      <c r="V7" s="508"/>
      <c r="W7" s="508"/>
      <c r="X7" s="508"/>
      <c r="Y7" s="508"/>
      <c r="Z7" s="508" t="b">
        <f t="shared" ref="Z7:Z11" si="2">NOT(ISBLANK(C7))</f>
        <v>0</v>
      </c>
      <c r="AA7" s="508"/>
      <c r="AB7" s="508"/>
    </row>
    <row r="8" spans="1:28" s="506" customFormat="1" ht="36" customHeight="1" thickBot="1">
      <c r="A8" s="504"/>
      <c r="B8" s="414" t="s">
        <v>751</v>
      </c>
      <c r="C8" s="623"/>
      <c r="D8" s="624"/>
      <c r="E8" s="624"/>
      <c r="F8" s="624"/>
      <c r="G8" s="625"/>
      <c r="H8" s="164" t="str" cm="1">
        <f t="array" ref="H8">IFERROR(INDEX(Q8:S8,1,P8),"")</f>
        <v>Zadejte IČ klienta.</v>
      </c>
      <c r="I8" s="513" t="b">
        <v>1</v>
      </c>
      <c r="J8" s="96" t="str">
        <f t="shared" si="0"/>
        <v/>
      </c>
      <c r="K8" s="96"/>
      <c r="L8" s="96" t="b">
        <f t="shared" si="1"/>
        <v>0</v>
      </c>
      <c r="M8" s="508" t="b">
        <f t="shared" ref="M8:M11" si="3">AND(M7,L8)</f>
        <v>0</v>
      </c>
      <c r="N8" s="508"/>
      <c r="O8" s="508"/>
      <c r="P8" s="96" cm="1">
        <f t="array" ref="P8">myidx(AND(L8),ISBLANK(C8))</f>
        <v>2</v>
      </c>
      <c r="Q8" s="508" t="s">
        <v>21</v>
      </c>
      <c r="R8" s="508" t="s">
        <v>948</v>
      </c>
      <c r="S8" s="508"/>
      <c r="T8" s="508"/>
      <c r="U8" s="508"/>
      <c r="V8" s="508"/>
      <c r="W8" s="508"/>
      <c r="X8" s="508"/>
      <c r="Y8" s="508"/>
      <c r="Z8" s="508" t="b">
        <f t="shared" si="2"/>
        <v>0</v>
      </c>
      <c r="AA8" s="508"/>
      <c r="AB8" s="508"/>
    </row>
    <row r="9" spans="1:28" s="506" customFormat="1" ht="36" customHeight="1" thickBot="1">
      <c r="A9" s="504"/>
      <c r="B9" s="413" t="s">
        <v>752</v>
      </c>
      <c r="C9" s="605"/>
      <c r="D9" s="606"/>
      <c r="E9" s="606"/>
      <c r="F9" s="606"/>
      <c r="G9" s="607"/>
      <c r="H9" s="164" t="str" cm="1">
        <f t="array" ref="H9">IFERROR(INDEX(Q9:S9,1,P9),"")</f>
        <v>Zadejte adresu žadatele.</v>
      </c>
      <c r="I9" s="513" t="b">
        <v>1</v>
      </c>
      <c r="J9" s="96" t="str">
        <f t="shared" si="0"/>
        <v/>
      </c>
      <c r="K9" s="96"/>
      <c r="L9" s="96" t="b">
        <f t="shared" si="1"/>
        <v>0</v>
      </c>
      <c r="M9" s="508" t="b">
        <f t="shared" si="3"/>
        <v>0</v>
      </c>
      <c r="N9" s="508"/>
      <c r="O9" s="508"/>
      <c r="P9" s="96" cm="1">
        <f t="array" ref="P9">myidx(AND(L9),ISBLANK(C9))</f>
        <v>2</v>
      </c>
      <c r="Q9" s="508" t="s">
        <v>21</v>
      </c>
      <c r="R9" s="508" t="s">
        <v>949</v>
      </c>
      <c r="S9" s="508"/>
      <c r="T9" s="508"/>
      <c r="U9" s="508"/>
      <c r="V9" s="508"/>
      <c r="W9" s="508"/>
      <c r="X9" s="508"/>
      <c r="Y9" s="508"/>
      <c r="Z9" s="508" t="b">
        <f t="shared" si="2"/>
        <v>0</v>
      </c>
      <c r="AA9" s="508"/>
      <c r="AB9" s="508"/>
    </row>
    <row r="10" spans="1:28" s="506" customFormat="1" ht="36" customHeight="1" thickBot="1">
      <c r="A10" s="504"/>
      <c r="B10" s="413" t="s">
        <v>753</v>
      </c>
      <c r="C10" s="605"/>
      <c r="D10" s="606"/>
      <c r="E10" s="606"/>
      <c r="F10" s="606"/>
      <c r="G10" s="607"/>
      <c r="H10" s="164" t="str" cm="1">
        <f t="array" ref="H10">IFERROR(INDEX(Q10:S10,1,P10),"")</f>
        <v>Zadejte adresu místarealizace projektu</v>
      </c>
      <c r="I10" s="513" t="b">
        <v>1</v>
      </c>
      <c r="J10" s="96" t="str">
        <f t="shared" si="0"/>
        <v/>
      </c>
      <c r="K10" s="96"/>
      <c r="L10" s="96" t="b">
        <f t="shared" si="1"/>
        <v>0</v>
      </c>
      <c r="M10" s="508" t="b">
        <f t="shared" si="3"/>
        <v>0</v>
      </c>
      <c r="N10" s="508"/>
      <c r="O10" s="508"/>
      <c r="P10" s="96" cm="1">
        <f t="array" ref="P10">myidx(AND(L10),ISBLANK(C10))</f>
        <v>2</v>
      </c>
      <c r="Q10" s="508" t="s">
        <v>21</v>
      </c>
      <c r="R10" s="508" t="s">
        <v>950</v>
      </c>
      <c r="S10" s="508"/>
      <c r="T10" s="508"/>
      <c r="U10" s="508"/>
      <c r="V10" s="508"/>
      <c r="W10" s="508"/>
      <c r="X10" s="508"/>
      <c r="Y10" s="508"/>
      <c r="Z10" s="508" t="b">
        <f t="shared" si="2"/>
        <v>0</v>
      </c>
      <c r="AA10" s="508"/>
      <c r="AB10" s="508"/>
    </row>
    <row r="11" spans="1:28" s="506" customFormat="1" ht="48" customHeight="1" thickBot="1">
      <c r="A11" s="504"/>
      <c r="B11" s="415" t="s">
        <v>754</v>
      </c>
      <c r="C11" s="608"/>
      <c r="D11" s="609"/>
      <c r="E11" s="609"/>
      <c r="F11" s="609"/>
      <c r="G11" s="610"/>
      <c r="H11" s="164" t="str" cm="1">
        <f t="array" ref="H11">IFERROR(INDEX(Q11:S11,1,P11),"")</f>
        <v>Vyplňte popis projektu</v>
      </c>
      <c r="I11" s="513" t="b">
        <v>1</v>
      </c>
      <c r="J11" s="96" t="str">
        <f t="shared" si="0"/>
        <v/>
      </c>
      <c r="K11" s="96"/>
      <c r="L11" s="96" t="b">
        <f t="shared" si="1"/>
        <v>0</v>
      </c>
      <c r="M11" s="513" t="b">
        <f t="shared" si="3"/>
        <v>0</v>
      </c>
      <c r="N11" s="508"/>
      <c r="O11" s="508"/>
      <c r="P11" s="96" cm="1">
        <f t="array" ref="P11">myidx(AND(L11),ISBLANK(C11))</f>
        <v>2</v>
      </c>
      <c r="Q11" s="513" t="s">
        <v>21</v>
      </c>
      <c r="R11" s="513" t="s">
        <v>951</v>
      </c>
      <c r="S11" s="508"/>
      <c r="T11" s="508"/>
      <c r="U11" s="508"/>
      <c r="V11" s="508"/>
      <c r="W11" s="508"/>
      <c r="X11" s="508"/>
      <c r="Y11" s="508"/>
      <c r="Z11" s="508" t="b">
        <f t="shared" si="2"/>
        <v>0</v>
      </c>
      <c r="AA11" s="508"/>
      <c r="AB11" s="508"/>
    </row>
    <row r="12" spans="1:28" s="506" customFormat="1" ht="15.75">
      <c r="A12" s="504"/>
      <c r="B12" s="514"/>
      <c r="C12" s="515"/>
      <c r="D12" s="516"/>
      <c r="E12" s="516"/>
      <c r="F12" s="516"/>
      <c r="G12" s="517"/>
      <c r="H12" s="508"/>
      <c r="I12" s="513" t="b">
        <v>1</v>
      </c>
      <c r="J12" s="508"/>
      <c r="K12" s="508"/>
      <c r="L12" s="508"/>
      <c r="M12" s="508"/>
      <c r="N12" s="508"/>
      <c r="O12" s="508"/>
      <c r="P12" s="508"/>
      <c r="Q12" s="508"/>
      <c r="R12" s="508"/>
      <c r="S12" s="508"/>
      <c r="T12" s="508"/>
      <c r="U12" s="508"/>
      <c r="V12" s="508"/>
      <c r="W12" s="508"/>
      <c r="X12" s="508"/>
      <c r="Y12" s="508"/>
      <c r="Z12" s="508"/>
      <c r="AA12" s="508"/>
      <c r="AB12" s="508"/>
    </row>
    <row r="13" spans="1:28" ht="36" customHeight="1" thickBot="1">
      <c r="B13" s="412" t="s">
        <v>755</v>
      </c>
      <c r="C13" s="412"/>
      <c r="D13" s="412"/>
      <c r="E13" s="416"/>
      <c r="F13" s="416"/>
      <c r="G13" s="416"/>
      <c r="I13" s="513" t="b">
        <v>1</v>
      </c>
    </row>
    <row r="14" spans="1:28" ht="36" customHeight="1" thickBot="1">
      <c r="B14" s="417" t="s">
        <v>756</v>
      </c>
      <c r="C14" s="418" t="s">
        <v>1155</v>
      </c>
      <c r="D14" s="419"/>
      <c r="E14" s="611" t="str" cm="1">
        <f t="array" ref="E14">IF(N14,O14,IFERROR(INDEX(Q14:S14,1,P14),""))</f>
        <v>Vyberte ano nebo ne.</v>
      </c>
      <c r="F14" s="612"/>
      <c r="G14" s="612"/>
      <c r="I14" s="513" t="b">
        <v>1</v>
      </c>
      <c r="J14" s="96" t="str">
        <f>IF(AND(I14,L14),D14,"")</f>
        <v/>
      </c>
      <c r="K14" s="96"/>
      <c r="L14" s="145" t="b">
        <f>OR(D14="ano",D14="ne")</f>
        <v>0</v>
      </c>
      <c r="M14" s="518" t="b">
        <f>AND(M11,L14)</f>
        <v>0</v>
      </c>
      <c r="N14" s="518" t="b">
        <f>D14=ano</f>
        <v>0</v>
      </c>
      <c r="O14" s="518" t="s">
        <v>1050</v>
      </c>
      <c r="P14" s="145" cm="1">
        <f t="array" ref="P14">myidx(AND(L14),ISBLANK(D14))</f>
        <v>2</v>
      </c>
      <c r="Q14" s="96" t="s">
        <v>21</v>
      </c>
      <c r="R14" s="96" t="s">
        <v>217</v>
      </c>
      <c r="Z14" s="519" t="b">
        <f t="shared" ref="Z14:Z15" si="4">NOT(ISBLANK(C14))</f>
        <v>1</v>
      </c>
    </row>
    <row r="15" spans="1:28" ht="36" customHeight="1" thickBot="1">
      <c r="B15" s="417" t="s">
        <v>757</v>
      </c>
      <c r="C15" s="418" t="s">
        <v>891</v>
      </c>
      <c r="D15" s="419"/>
      <c r="E15" s="611" t="str" cm="1">
        <f t="array" ref="E15">IF(N15,O15,IFERROR(INDEX(Q15:S15,1,P15),""))</f>
        <v>Vyberte způsob podpory</v>
      </c>
      <c r="F15" s="612"/>
      <c r="G15" s="612"/>
      <c r="I15" s="513" t="b">
        <v>1</v>
      </c>
      <c r="J15" s="96" t="str">
        <f>IF(AND(I15,L15),D15,"")</f>
        <v/>
      </c>
      <c r="L15" s="96" t="b">
        <f>NOT(ISBLANK(D15))</f>
        <v>0</v>
      </c>
      <c r="M15" s="513" t="b">
        <f t="shared" ref="M15" si="5">AND(M14,L15)</f>
        <v>0</v>
      </c>
      <c r="N15" s="518" t="b">
        <f>Globální!E1=2</f>
        <v>0</v>
      </c>
      <c r="O15" s="518" t="s">
        <v>953</v>
      </c>
      <c r="P15" s="145" cm="1">
        <f t="array" ref="P15">myidx(AND(L15),ISBLANK(D15))</f>
        <v>2</v>
      </c>
      <c r="Q15" s="96" t="s">
        <v>21</v>
      </c>
      <c r="R15" s="518" t="s">
        <v>952</v>
      </c>
      <c r="S15" s="518"/>
      <c r="T15" s="518"/>
      <c r="U15" s="518"/>
      <c r="Z15" s="519" t="b">
        <f t="shared" si="4"/>
        <v>1</v>
      </c>
    </row>
    <row r="16" spans="1:28" s="500" customFormat="1">
      <c r="I16" s="513" t="b">
        <v>1</v>
      </c>
      <c r="L16" s="520"/>
      <c r="P16" s="520"/>
      <c r="Q16" s="520"/>
      <c r="R16" s="520"/>
      <c r="S16" s="520"/>
      <c r="T16" s="520"/>
      <c r="U16" s="520"/>
    </row>
    <row r="17" spans="2:27" s="500" customFormat="1">
      <c r="I17" s="513" t="b">
        <v>1</v>
      </c>
      <c r="L17" s="520"/>
      <c r="P17" s="520"/>
      <c r="Q17" s="520"/>
      <c r="R17" s="520"/>
      <c r="S17" s="520"/>
      <c r="T17" s="520"/>
      <c r="U17" s="520"/>
    </row>
    <row r="18" spans="2:27" ht="36" customHeight="1" thickBot="1">
      <c r="B18" s="412" t="s">
        <v>758</v>
      </c>
      <c r="C18" s="412"/>
      <c r="D18" s="412"/>
      <c r="E18" s="416"/>
      <c r="F18" s="416"/>
      <c r="G18" s="416"/>
      <c r="I18" s="513" t="b">
        <v>1</v>
      </c>
      <c r="L18" s="518"/>
      <c r="P18" s="518"/>
      <c r="Q18" s="518"/>
      <c r="R18" s="518"/>
      <c r="S18" s="518"/>
      <c r="T18" s="518"/>
      <c r="U18" s="518"/>
    </row>
    <row r="19" spans="2:27" ht="36" customHeight="1" thickBot="1">
      <c r="B19" s="498"/>
      <c r="C19" s="613" t="s">
        <v>1199</v>
      </c>
      <c r="D19" s="614"/>
      <c r="E19" s="165" t="str" cm="1">
        <f t="array" ref="E19">IFERROR(INDEX(Q19:T19,1,P19),"")</f>
        <v>OK</v>
      </c>
      <c r="F19" s="416"/>
      <c r="G19" s="416"/>
      <c r="I19" s="513" t="b">
        <v>1</v>
      </c>
      <c r="L19" s="518" t="b">
        <f>je_zateplení</f>
        <v>1</v>
      </c>
      <c r="P19" s="518" cm="1">
        <f t="array" ref="P19">myidx(L19,NOT(je_zateplení))</f>
        <v>1</v>
      </c>
      <c r="Q19" s="518" t="s">
        <v>21</v>
      </c>
      <c r="R19" s="518" t="s">
        <v>1156</v>
      </c>
      <c r="S19" s="518"/>
      <c r="T19" s="518"/>
      <c r="U19" s="518"/>
    </row>
    <row r="20" spans="2:27" ht="36" customHeight="1" thickBot="1">
      <c r="B20" s="498"/>
      <c r="C20" s="613" t="s">
        <v>1034</v>
      </c>
      <c r="D20" s="614"/>
      <c r="E20" s="165" t="str" cm="1">
        <f t="array" ref="E20">IFERROR(INDEX(Q20:T20,1,P20),"")</f>
        <v>OK</v>
      </c>
      <c r="F20" s="416"/>
      <c r="G20" s="416"/>
      <c r="I20" s="513" t="b">
        <v>1</v>
      </c>
      <c r="L20" s="518" t="b">
        <v>1</v>
      </c>
      <c r="P20" s="518">
        <v>1</v>
      </c>
      <c r="Q20" s="518" t="s">
        <v>21</v>
      </c>
      <c r="R20" s="518"/>
      <c r="S20" s="518"/>
      <c r="T20" s="518"/>
      <c r="U20" s="518"/>
    </row>
    <row r="21" spans="2:27" ht="36" customHeight="1" thickBot="1">
      <c r="B21" s="498"/>
      <c r="C21" s="613" t="s">
        <v>1035</v>
      </c>
      <c r="D21" s="614"/>
      <c r="E21" s="165" t="str" cm="1">
        <f t="array" ref="E21">IFERROR(INDEX(Q21:T21,1,P21),"")</f>
        <v>OK</v>
      </c>
      <c r="F21" s="416"/>
      <c r="G21" s="416"/>
      <c r="I21" s="513" t="b">
        <v>1</v>
      </c>
      <c r="L21" s="518" t="b">
        <v>1</v>
      </c>
      <c r="P21" s="518">
        <v>1</v>
      </c>
      <c r="Q21" s="518" t="s">
        <v>21</v>
      </c>
      <c r="R21" s="518"/>
      <c r="S21" s="518"/>
      <c r="T21" s="518"/>
      <c r="U21" s="518"/>
    </row>
    <row r="22" spans="2:27" ht="36" customHeight="1" thickBot="1">
      <c r="B22" s="498"/>
      <c r="C22" s="613" t="s">
        <v>1036</v>
      </c>
      <c r="D22" s="614"/>
      <c r="E22" s="165" t="str" cm="1">
        <f t="array" ref="E22">IFERROR(INDEX(Q22:T22,1,P22),"")</f>
        <v>OK</v>
      </c>
      <c r="F22" s="416"/>
      <c r="G22" s="416"/>
      <c r="I22" s="513" t="b">
        <v>1</v>
      </c>
      <c r="L22" s="518" t="b">
        <f>OR(NOT(je_zdroj),AND(je_zdroj,OR(je_zateplení,je_rekuperace,je_osvětlení)))</f>
        <v>1</v>
      </c>
      <c r="P22" s="518">
        <f>IF(L22,1,2)</f>
        <v>1</v>
      </c>
      <c r="Q22" s="518" t="s">
        <v>21</v>
      </c>
      <c r="R22" s="518" t="s">
        <v>1049</v>
      </c>
      <c r="S22" s="518"/>
      <c r="T22" s="518"/>
      <c r="U22" s="518"/>
    </row>
    <row r="23" spans="2:27" ht="36" customHeight="1" thickBot="1">
      <c r="B23" s="499"/>
      <c r="C23" s="591" t="s">
        <v>779</v>
      </c>
      <c r="D23" s="592"/>
      <c r="E23" s="165" t="str" cm="1">
        <f t="array" ref="E23">IFERROR(INDEX(Q23:T23,1,P23),"")</f>
        <v>OK</v>
      </c>
      <c r="F23" s="416"/>
      <c r="G23" s="416"/>
      <c r="I23" s="513" t="b">
        <v>1</v>
      </c>
      <c r="L23" s="518" t="b">
        <f>OR(NOT(je_FVE),AND(je_FVE,OR(je_zateplení,je_rekuperace,je_osvětlení)))</f>
        <v>1</v>
      </c>
      <c r="P23" s="518">
        <f>IF(L23,1,2)</f>
        <v>1</v>
      </c>
      <c r="Q23" s="518" t="s">
        <v>21</v>
      </c>
      <c r="R23" s="518" t="s">
        <v>1048</v>
      </c>
      <c r="S23" s="518"/>
      <c r="T23" s="518"/>
      <c r="U23" s="518"/>
    </row>
    <row r="24" spans="2:27" ht="15.75" thickBot="1">
      <c r="B24" s="421"/>
      <c r="C24" s="420"/>
      <c r="D24" s="420"/>
      <c r="E24" s="416"/>
      <c r="F24" s="416"/>
      <c r="G24" s="416"/>
      <c r="I24" s="501" t="b">
        <v>1</v>
      </c>
      <c r="L24" s="518"/>
      <c r="P24" s="518"/>
      <c r="Q24" s="518"/>
      <c r="R24" s="518"/>
      <c r="S24" s="518"/>
      <c r="T24" s="518"/>
      <c r="U24" s="518"/>
    </row>
    <row r="25" spans="2:27" ht="36" customHeight="1" thickBot="1">
      <c r="B25" s="412" t="s">
        <v>759</v>
      </c>
      <c r="C25" s="412"/>
      <c r="D25" s="412"/>
      <c r="E25" s="416"/>
      <c r="F25" s="416"/>
      <c r="G25" s="416"/>
      <c r="I25" s="518" t="b">
        <v>1</v>
      </c>
      <c r="L25" s="518"/>
      <c r="P25" s="518"/>
      <c r="Q25" s="518"/>
      <c r="R25" s="518"/>
      <c r="S25" s="518"/>
      <c r="T25" s="518"/>
      <c r="U25" s="518"/>
    </row>
    <row r="26" spans="2:27" ht="36" customHeight="1" thickBot="1">
      <c r="B26" s="593" t="s">
        <v>760</v>
      </c>
      <c r="C26" s="594"/>
      <c r="D26" s="422"/>
      <c r="E26" s="165" t="str" cm="1">
        <f t="array" ref="E26">IFERROR(INDEX(Q26:T26,1,P26),"")</f>
        <v>Doplňte náklady na zateplení.</v>
      </c>
      <c r="F26" s="501"/>
      <c r="G26" s="501"/>
      <c r="I26" s="518" t="b">
        <f>je_zateplení</f>
        <v>1</v>
      </c>
      <c r="J26" s="489">
        <f>D26*I26*L26</f>
        <v>0</v>
      </c>
      <c r="K26" s="518"/>
      <c r="L26" s="154" t="b">
        <f>AND(ISNUMBER(D26),IF(ISNUMBER(D26),D26&gt;0,FALSE))</f>
        <v>0</v>
      </c>
      <c r="M26" s="518"/>
      <c r="N26" s="518"/>
      <c r="O26" s="518"/>
      <c r="P26" s="154" cm="1">
        <f t="array" ref="P26">myidx(L26,ISBLANK(D26),NOT(ISNUMBER(D26)),D26&lt;=0)</f>
        <v>2</v>
      </c>
      <c r="Q26" s="518" t="s">
        <v>21</v>
      </c>
      <c r="R26" s="518" t="s">
        <v>1043</v>
      </c>
      <c r="S26" s="154" t="s">
        <v>23</v>
      </c>
      <c r="T26" s="154" t="s">
        <v>1047</v>
      </c>
      <c r="U26" s="518"/>
      <c r="V26" s="518"/>
      <c r="W26" s="518"/>
      <c r="X26" s="518"/>
      <c r="Y26" s="518"/>
      <c r="Z26" s="521" t="b">
        <f ca="1">OR(NOT(ISBLANK(D26)),NOT(Parametry!B18))</f>
        <v>1</v>
      </c>
      <c r="AA26" s="518"/>
    </row>
    <row r="27" spans="2:27" ht="36" hidden="1" customHeight="1" thickBot="1">
      <c r="B27" s="595" t="s">
        <v>1032</v>
      </c>
      <c r="C27" s="596"/>
      <c r="D27" s="422"/>
      <c r="E27" s="165" t="str" cm="1">
        <f t="array" ref="E27">IFERROR(INDEX(Q27:T27,1,P27),"")</f>
        <v>Doplňte náklady na rekuperaci.</v>
      </c>
      <c r="F27" s="501"/>
      <c r="G27" s="501"/>
      <c r="I27" s="518" t="b">
        <f>je_rekuperace</f>
        <v>0</v>
      </c>
      <c r="J27" s="489">
        <f t="shared" ref="J27:J30" si="6">D27*I27*L27</f>
        <v>0</v>
      </c>
      <c r="K27" s="518"/>
      <c r="L27" s="154" t="b">
        <f t="shared" ref="L27:L30" si="7">AND(ISNUMBER(D27),IF(ISNUMBER(D27),D27&gt;0,FALSE))</f>
        <v>0</v>
      </c>
      <c r="M27" s="518"/>
      <c r="N27" s="518"/>
      <c r="O27" s="518"/>
      <c r="P27" s="154" cm="1">
        <f t="array" ref="P27">myidx(L27,ISBLANK(D27),NOT(ISNUMBER(D27)),D27&lt;=0)</f>
        <v>2</v>
      </c>
      <c r="Q27" s="518" t="s">
        <v>21</v>
      </c>
      <c r="R27" s="518" t="s">
        <v>1042</v>
      </c>
      <c r="S27" s="154" t="s">
        <v>23</v>
      </c>
      <c r="T27" s="154" t="s">
        <v>1047</v>
      </c>
      <c r="U27" s="518"/>
      <c r="V27" s="518"/>
      <c r="W27" s="518"/>
      <c r="X27" s="518"/>
      <c r="Y27" s="518"/>
      <c r="Z27" s="521"/>
      <c r="AA27" s="518"/>
    </row>
    <row r="28" spans="2:27" ht="36" hidden="1" customHeight="1" thickBot="1">
      <c r="B28" s="595" t="s">
        <v>761</v>
      </c>
      <c r="C28" s="596"/>
      <c r="D28" s="422"/>
      <c r="E28" s="165" t="str" cm="1">
        <f t="array" ref="E28">IFERROR(INDEX(Q28:T28,1,P28),"")</f>
        <v>Doplňte náklady na výměnu zdroje tepla.</v>
      </c>
      <c r="F28" s="501"/>
      <c r="G28" s="501"/>
      <c r="I28" s="518" t="b">
        <f>je_zdroj</f>
        <v>0</v>
      </c>
      <c r="J28" s="489">
        <f t="shared" si="6"/>
        <v>0</v>
      </c>
      <c r="K28" s="518"/>
      <c r="L28" s="154" t="b">
        <f t="shared" si="7"/>
        <v>0</v>
      </c>
      <c r="M28" s="518"/>
      <c r="N28" s="518"/>
      <c r="O28" s="518"/>
      <c r="P28" s="154" cm="1">
        <f t="array" ref="P28">myidx(L28,ISBLANK(D28),NOT(ISNUMBER(D28)),D28&lt;=0)</f>
        <v>2</v>
      </c>
      <c r="Q28" s="518" t="s">
        <v>21</v>
      </c>
      <c r="R28" s="518" t="s">
        <v>1044</v>
      </c>
      <c r="S28" s="154" t="s">
        <v>23</v>
      </c>
      <c r="T28" s="154" t="s">
        <v>1047</v>
      </c>
      <c r="U28" s="518"/>
      <c r="V28" s="518"/>
      <c r="W28" s="518"/>
      <c r="X28" s="518"/>
      <c r="Y28" s="518"/>
      <c r="Z28" s="521" t="b">
        <f>OR(NOT(ISBLANK(D28)),NOT(Parametry!B17))</f>
        <v>1</v>
      </c>
      <c r="AA28" s="518"/>
    </row>
    <row r="29" spans="2:27" ht="36" hidden="1" customHeight="1" thickBot="1">
      <c r="B29" s="595" t="s">
        <v>762</v>
      </c>
      <c r="C29" s="596"/>
      <c r="D29" s="422"/>
      <c r="E29" s="165" t="str" cm="1">
        <f t="array" ref="E29">IFERROR(INDEX(Q29:T29,1,P29),"")</f>
        <v>Doplňte náklady na modernizaci osvětlení.</v>
      </c>
      <c r="F29" s="501"/>
      <c r="G29" s="501"/>
      <c r="I29" s="518" t="b">
        <f>je_osvětlení</f>
        <v>0</v>
      </c>
      <c r="J29" s="489">
        <f t="shared" si="6"/>
        <v>0</v>
      </c>
      <c r="K29" s="518"/>
      <c r="L29" s="154" t="b">
        <f t="shared" si="7"/>
        <v>0</v>
      </c>
      <c r="M29" s="518"/>
      <c r="N29" s="518"/>
      <c r="O29" s="518"/>
      <c r="P29" s="154" cm="1">
        <f t="array" ref="P29">myidx(L29,ISBLANK(D29),NOT(ISNUMBER(D29)),D29&lt;=0)</f>
        <v>2</v>
      </c>
      <c r="Q29" s="518" t="s">
        <v>21</v>
      </c>
      <c r="R29" s="518" t="s">
        <v>1045</v>
      </c>
      <c r="S29" s="154" t="s">
        <v>23</v>
      </c>
      <c r="T29" s="154" t="s">
        <v>1047</v>
      </c>
      <c r="U29" s="518"/>
      <c r="V29" s="518"/>
      <c r="W29" s="518"/>
      <c r="X29" s="518"/>
      <c r="Y29" s="518"/>
      <c r="Z29" s="521" t="b">
        <f ca="1">OR(NOT(ISBLANK(D29)),NOT(Parametry!B19))</f>
        <v>1</v>
      </c>
      <c r="AA29" s="518"/>
    </row>
    <row r="30" spans="2:27" ht="36" hidden="1" customHeight="1" thickBot="1">
      <c r="B30" s="595" t="s">
        <v>763</v>
      </c>
      <c r="C30" s="596"/>
      <c r="D30" s="422"/>
      <c r="E30" s="165" t="str" cm="1">
        <f t="array" ref="E30">IFERROR(INDEX(Q30:T30,1,P30),"")</f>
        <v>Doplňte náklady na FVE.</v>
      </c>
      <c r="F30" s="420"/>
      <c r="G30" s="420"/>
      <c r="I30" s="518" t="b">
        <f>je_FVE</f>
        <v>0</v>
      </c>
      <c r="J30" s="489">
        <f t="shared" si="6"/>
        <v>0</v>
      </c>
      <c r="K30" s="518"/>
      <c r="L30" s="518" t="b">
        <f t="shared" si="7"/>
        <v>0</v>
      </c>
      <c r="M30" s="518"/>
      <c r="N30" s="518"/>
      <c r="O30" s="518"/>
      <c r="P30" s="154" cm="1">
        <f t="array" ref="P30">myidx(L30,ISBLANK(D30),NOT(ISNUMBER(D30)),D30&lt;=0)</f>
        <v>2</v>
      </c>
      <c r="Q30" s="518" t="s">
        <v>21</v>
      </c>
      <c r="R30" s="518" t="s">
        <v>1046</v>
      </c>
      <c r="S30" s="154" t="s">
        <v>23</v>
      </c>
      <c r="T30" s="154" t="s">
        <v>1047</v>
      </c>
      <c r="U30" s="518"/>
      <c r="V30" s="518"/>
      <c r="W30" s="518"/>
      <c r="X30" s="518"/>
      <c r="Y30" s="518"/>
      <c r="Z30" s="521" t="b">
        <f ca="1">OR(NOT(ISBLANK(D30)),NOT(Parametry!B20))</f>
        <v>1</v>
      </c>
      <c r="AA30" s="518"/>
    </row>
    <row r="31" spans="2:27" ht="36" customHeight="1" thickBot="1">
      <c r="B31" s="598" t="s">
        <v>765</v>
      </c>
      <c r="C31" s="599"/>
      <c r="D31" s="490">
        <f>SUM(J26:J30)</f>
        <v>0</v>
      </c>
      <c r="E31" s="165" t="str">
        <f>IF(N31,O31,"OK")</f>
        <v>OK</v>
      </c>
      <c r="F31" s="416"/>
      <c r="G31" s="416"/>
      <c r="I31" s="518" t="b">
        <v>1</v>
      </c>
      <c r="N31" s="518" t="b">
        <f>D31&gt;Globální!B8</f>
        <v>0</v>
      </c>
      <c r="O31" s="518" t="str">
        <f>"Kalkulačku lze použít pro investice do maximální výše " &amp; Globální!B8 &amp; " Kč."</f>
        <v>Kalkulačku lze použít pro investice do maximální výše 5000000 Kč.</v>
      </c>
      <c r="Z31" s="501" t="b">
        <f ca="1">AND(Z6:Z11,Z14:Z15,Z26:Z30)</f>
        <v>0</v>
      </c>
      <c r="AA31" s="501" t="s">
        <v>764</v>
      </c>
    </row>
    <row r="32" spans="2:27">
      <c r="B32" s="500"/>
      <c r="C32" s="500"/>
      <c r="D32" s="500"/>
      <c r="E32" s="500"/>
      <c r="F32" s="500"/>
      <c r="G32" s="500"/>
      <c r="I32" s="518" t="b">
        <v>1</v>
      </c>
    </row>
    <row r="33" spans="2:26" ht="36" customHeight="1" thickBot="1">
      <c r="B33" s="412" t="s">
        <v>766</v>
      </c>
      <c r="C33" s="412"/>
      <c r="D33" s="412"/>
      <c r="E33" s="416"/>
      <c r="F33" s="416"/>
      <c r="G33" s="416"/>
      <c r="H33" s="501" t="b">
        <f ca="1">IF(C35="Doplňte list Zateplení",IF(C35="List Zateplení je celý vyplněn",TRUE,FALSE),"")</f>
        <v>0</v>
      </c>
      <c r="I33" s="518" t="b">
        <v>1</v>
      </c>
      <c r="Z33" s="501" t="s">
        <v>767</v>
      </c>
    </row>
    <row r="34" spans="2:26">
      <c r="B34" s="500"/>
      <c r="C34" s="500"/>
      <c r="D34" s="500"/>
      <c r="E34" s="500"/>
      <c r="F34" s="500"/>
      <c r="G34" s="500"/>
      <c r="I34" s="518" t="b">
        <v>1</v>
      </c>
    </row>
    <row r="35" spans="2:26" s="520" customFormat="1" ht="24" customHeight="1" thickBot="1">
      <c r="B35" s="424"/>
      <c r="C35" s="493" t="str">
        <f ca="1">IF(L35,"List Zateplení je celý vyplněn","Doplňte list Zateplení")</f>
        <v>Doplňte list Zateplení</v>
      </c>
      <c r="D35" s="423"/>
      <c r="E35" s="423"/>
      <c r="F35" s="423"/>
      <c r="G35" s="423"/>
      <c r="H35" s="522"/>
      <c r="I35" s="520" t="b">
        <f>je_zateplení</f>
        <v>1</v>
      </c>
      <c r="L35" s="520" t="b">
        <f ca="1">OR(AND(Zateplení!M81,NOT(Zateplení!I86)),AND(JePENB,Výjimka,Zateplení!M20))</f>
        <v>0</v>
      </c>
      <c r="Z35" s="523" t="b">
        <f ca="1">Kontrola</f>
        <v>0</v>
      </c>
    </row>
    <row r="36" spans="2:26" s="500" customFormat="1" ht="24" hidden="1" customHeight="1" thickBot="1">
      <c r="B36" s="424"/>
      <c r="C36" s="493" t="str">
        <f>IF(L36,"List Rekuperace je celý vyplněn","Doplňte list Rekuperace")</f>
        <v>Doplňte list Rekuperace</v>
      </c>
      <c r="D36" s="423"/>
      <c r="E36" s="423"/>
      <c r="F36" s="423"/>
      <c r="I36" s="520" t="b">
        <f>je_rekuperace</f>
        <v>0</v>
      </c>
      <c r="J36" s="520"/>
      <c r="K36" s="520"/>
      <c r="L36" s="520" t="b">
        <f>Rekuperace!K6</f>
        <v>0</v>
      </c>
      <c r="M36" s="520"/>
      <c r="N36" s="520"/>
      <c r="O36" s="520"/>
      <c r="P36" s="520"/>
      <c r="Q36" s="520"/>
      <c r="R36" s="520"/>
      <c r="S36" s="520"/>
      <c r="T36" s="520"/>
      <c r="U36" s="520"/>
      <c r="V36" s="520"/>
      <c r="W36" s="520"/>
    </row>
    <row r="37" spans="2:26" s="520" customFormat="1" ht="24" hidden="1" customHeight="1" thickBot="1">
      <c r="B37" s="424"/>
      <c r="C37" s="493" t="str">
        <f>IF(L37,"List Osvětlení je celý vyplněn","Doplňte list Osvětlení")</f>
        <v>Doplňte list Osvětlení</v>
      </c>
      <c r="D37" s="423"/>
      <c r="E37" s="423"/>
      <c r="F37" s="423"/>
      <c r="G37" s="425"/>
      <c r="I37" s="520" t="b">
        <f>je_osvětlení</f>
        <v>0</v>
      </c>
      <c r="L37" s="520" t="b">
        <f>Osvětlení!L41</f>
        <v>0</v>
      </c>
    </row>
    <row r="38" spans="2:26" s="520" customFormat="1" ht="24" hidden="1" customHeight="1" thickBot="1">
      <c r="B38" s="424"/>
      <c r="C38" s="493" t="str">
        <f>IF(L38,"List Zdroj je celý vyplněn","Doplňte list Zdroj")</f>
        <v>Doplňte list Zdroj</v>
      </c>
      <c r="D38" s="423"/>
      <c r="E38" s="423"/>
      <c r="F38" s="423"/>
      <c r="G38" s="423"/>
      <c r="H38" s="524"/>
      <c r="I38" s="520" t="b">
        <f>je_zdroj</f>
        <v>0</v>
      </c>
      <c r="L38" s="524" t="b">
        <f>Zdroj!L26</f>
        <v>0</v>
      </c>
    </row>
    <row r="39" spans="2:26" s="520" customFormat="1" ht="24" hidden="1" customHeight="1" thickBot="1">
      <c r="B39" s="424"/>
      <c r="C39" s="493" t="str">
        <f>IF(L39,"List FVE je celý vyplněn","Doplňte list FVE")</f>
        <v>Doplňte list FVE</v>
      </c>
      <c r="D39" s="423"/>
      <c r="E39" s="426"/>
      <c r="F39" s="427"/>
      <c r="G39" s="425"/>
      <c r="I39" s="525" t="b">
        <f>je_FVE</f>
        <v>0</v>
      </c>
      <c r="J39" s="525"/>
      <c r="K39" s="525"/>
      <c r="L39" s="525" t="b">
        <f>FVE!L9</f>
        <v>0</v>
      </c>
      <c r="M39" s="525"/>
      <c r="N39" s="525"/>
      <c r="O39" s="525"/>
      <c r="P39" s="525"/>
      <c r="Q39" s="525"/>
      <c r="R39" s="525"/>
      <c r="S39" s="525"/>
      <c r="T39" s="525"/>
      <c r="U39" s="525"/>
      <c r="V39" s="525"/>
      <c r="W39" s="525"/>
    </row>
    <row r="40" spans="2:26" ht="15.75" thickBot="1">
      <c r="B40" s="416"/>
      <c r="C40" s="416"/>
      <c r="D40" s="416"/>
      <c r="E40" s="428"/>
      <c r="F40" s="429"/>
      <c r="G40" s="430"/>
      <c r="I40" s="518" t="b">
        <v>1</v>
      </c>
    </row>
    <row r="41" spans="2:26" ht="36" customHeight="1" thickBot="1">
      <c r="B41" s="412" t="s">
        <v>768</v>
      </c>
      <c r="C41" s="412"/>
      <c r="D41" s="412"/>
      <c r="E41" s="416"/>
      <c r="F41" s="416"/>
      <c r="G41" s="416"/>
      <c r="I41" s="518" t="b">
        <v>1</v>
      </c>
    </row>
    <row r="42" spans="2:26" ht="36" customHeight="1">
      <c r="B42" s="481" t="s">
        <v>1005</v>
      </c>
      <c r="C42" s="588" t="str">
        <f>IF(AND(je_zateplení,OR(je_rekuperace,je_osvětlení)),"Ano","Ne, intenzita podpory může být snížena o 5 %.")</f>
        <v>Ne, intenzita podpory může být snížena o 5 %.</v>
      </c>
      <c r="D42" s="589"/>
      <c r="E42" s="416"/>
      <c r="F42" s="416"/>
      <c r="G42" s="416"/>
      <c r="I42" s="518" t="b">
        <v>1</v>
      </c>
    </row>
    <row r="43" spans="2:26" ht="16.5" thickBot="1">
      <c r="B43" s="558"/>
      <c r="C43" s="482"/>
      <c r="D43" s="483"/>
      <c r="E43" s="416"/>
      <c r="F43" s="416"/>
      <c r="G43" s="416"/>
      <c r="I43" s="518" t="b">
        <v>1</v>
      </c>
    </row>
    <row r="44" spans="2:26" ht="36" customHeight="1" thickBot="1">
      <c r="B44" s="432"/>
      <c r="C44" s="597" t="s">
        <v>769</v>
      </c>
      <c r="D44" s="597"/>
      <c r="E44" s="433"/>
      <c r="F44" s="429"/>
      <c r="G44" s="430"/>
      <c r="I44" s="518" t="b">
        <v>1</v>
      </c>
    </row>
    <row r="45" spans="2:26" ht="36" customHeight="1" thickBot="1">
      <c r="B45" s="431"/>
      <c r="C45" s="432" t="s">
        <v>8</v>
      </c>
      <c r="D45" s="432" t="s">
        <v>447</v>
      </c>
      <c r="E45" s="433"/>
      <c r="F45" s="429"/>
      <c r="G45" s="430"/>
      <c r="I45" s="518" t="b">
        <v>1</v>
      </c>
    </row>
    <row r="46" spans="2:26" ht="48" customHeight="1" thickBot="1">
      <c r="B46" s="434" t="s">
        <v>1055</v>
      </c>
      <c r="C46" s="435">
        <f ca="1">IF(Kontrola,IF(Výjimka,Bilance!E34,Bilance!E33),0)</f>
        <v>0</v>
      </c>
      <c r="D46" s="435">
        <f t="shared" ref="D46:D61" ca="1" si="8">IF(Kontrola,C46*kWh_na_GJ,0)</f>
        <v>0</v>
      </c>
      <c r="E46" s="433"/>
      <c r="F46" s="429"/>
      <c r="G46" s="430"/>
      <c r="H46" s="526"/>
      <c r="I46" s="518" t="b">
        <v>1</v>
      </c>
    </row>
    <row r="47" spans="2:26" ht="48" customHeight="1" thickBot="1">
      <c r="B47" s="434" t="s">
        <v>1185</v>
      </c>
      <c r="C47" s="435">
        <f ca="1">IF(Kontrola,IF(IF(Výjimka,Bilance!F34,Bilance!F33)/C46&lt;0.05,0.05*C46,IF(Výjimka,Bilance!F34,Bilance!F33)),0)</f>
        <v>0</v>
      </c>
      <c r="D47" s="435">
        <f t="shared" ca="1" si="8"/>
        <v>0</v>
      </c>
      <c r="E47" s="433"/>
      <c r="F47" s="429"/>
      <c r="G47" s="430"/>
      <c r="I47" s="518" t="b">
        <v>1</v>
      </c>
    </row>
    <row r="48" spans="2:26" ht="48" customHeight="1" thickBot="1">
      <c r="B48" s="434" t="s">
        <v>1061</v>
      </c>
      <c r="C48" s="435">
        <f ca="1">IF(Kontrola,IFERROR(IF(C46="","",C46-C47),0),0)</f>
        <v>0</v>
      </c>
      <c r="D48" s="435">
        <f t="shared" ca="1" si="8"/>
        <v>0</v>
      </c>
      <c r="E48" s="436"/>
      <c r="F48" s="437"/>
      <c r="G48" s="430"/>
      <c r="I48" s="518" t="b">
        <v>1</v>
      </c>
    </row>
    <row r="49" spans="2:9" ht="48" customHeight="1" thickBot="1">
      <c r="B49" s="434" t="s">
        <v>1056</v>
      </c>
      <c r="C49" s="590">
        <f ca="1">IF(Kontrola,IFERROR(C48/C46,0),0)</f>
        <v>0</v>
      </c>
      <c r="D49" s="590"/>
      <c r="E49" s="552"/>
      <c r="F49" s="553"/>
      <c r="G49" s="425"/>
      <c r="I49" s="518" t="b">
        <v>1</v>
      </c>
    </row>
    <row r="50" spans="2:9" ht="48" customHeight="1" thickBot="1">
      <c r="B50" s="434" t="s">
        <v>1174</v>
      </c>
      <c r="C50" s="435">
        <f ca="1">IF(Kontrola,Bilance!E35,0)</f>
        <v>0</v>
      </c>
      <c r="D50" s="435">
        <f t="shared" ca="1" si="8"/>
        <v>0</v>
      </c>
      <c r="E50" s="554"/>
      <c r="F50" s="554"/>
      <c r="G50" s="555"/>
      <c r="I50" s="518" t="b">
        <v>1</v>
      </c>
    </row>
    <row r="51" spans="2:9" ht="48" customHeight="1" thickBot="1">
      <c r="B51" s="434" t="s">
        <v>1184</v>
      </c>
      <c r="C51" s="435">
        <f ca="1">IF(Kontrola,IF(Bilance!F35/C50&lt;0.05,0.05*C50,Bilance!F35),0)</f>
        <v>0</v>
      </c>
      <c r="D51" s="435">
        <f t="shared" ca="1" si="8"/>
        <v>0</v>
      </c>
      <c r="E51" s="554"/>
      <c r="F51" s="554"/>
      <c r="G51" s="555"/>
      <c r="I51" s="518" t="b">
        <v>1</v>
      </c>
    </row>
    <row r="52" spans="2:9" ht="48" customHeight="1" thickBot="1">
      <c r="B52" s="434" t="s">
        <v>1175</v>
      </c>
      <c r="C52" s="435">
        <f ca="1">IF(Kontrola,IFERROR(IF(C50="","",C50-C51),0),0)</f>
        <v>0</v>
      </c>
      <c r="D52" s="435">
        <f t="shared" ca="1" si="8"/>
        <v>0</v>
      </c>
      <c r="E52" s="554"/>
      <c r="F52" s="554"/>
      <c r="G52" s="555"/>
      <c r="I52" s="518" t="b">
        <v>1</v>
      </c>
    </row>
    <row r="53" spans="2:9" ht="48" customHeight="1" thickBot="1">
      <c r="B53" s="434" t="s">
        <v>1175</v>
      </c>
      <c r="C53" s="590">
        <f ca="1">IF(Kontrola,IFERROR(C52/C50,0),0)</f>
        <v>0</v>
      </c>
      <c r="D53" s="590"/>
      <c r="E53" s="554"/>
      <c r="F53" s="554"/>
      <c r="G53" s="555"/>
      <c r="I53" s="518" t="b">
        <v>1</v>
      </c>
    </row>
    <row r="54" spans="2:9" ht="48" hidden="1" customHeight="1" thickBot="1">
      <c r="B54" s="434" t="s">
        <v>770</v>
      </c>
      <c r="C54" s="435">
        <f ca="1">IF(Kontrola,IF(Parametry!B20,FVE!E5,0),0)</f>
        <v>0</v>
      </c>
      <c r="D54" s="435">
        <f t="shared" ca="1" si="8"/>
        <v>0</v>
      </c>
      <c r="E54" s="600"/>
      <c r="F54" s="601"/>
      <c r="G54" s="555"/>
      <c r="I54" s="518" t="b">
        <f>je_FVE</f>
        <v>0</v>
      </c>
    </row>
    <row r="55" spans="2:9" ht="48" hidden="1" customHeight="1" thickBot="1">
      <c r="B55" s="434" t="s">
        <v>1059</v>
      </c>
      <c r="C55" s="604">
        <f ca="1">IF(Kontrola,IFERROR(C54/C52,0),0)</f>
        <v>0</v>
      </c>
      <c r="D55" s="604"/>
      <c r="E55" s="556"/>
      <c r="F55" s="438"/>
      <c r="G55" s="439"/>
      <c r="I55" s="518" t="b">
        <f>je_FVE</f>
        <v>0</v>
      </c>
    </row>
    <row r="56" spans="2:9" ht="48" customHeight="1" thickBot="1">
      <c r="B56" s="434" t="s">
        <v>1057</v>
      </c>
      <c r="C56" s="435">
        <f ca="1">IF(Kontrola,IF(Výjimka,Bilance!H34,Bilance!H33),0)</f>
        <v>0</v>
      </c>
      <c r="D56" s="435">
        <f t="shared" ca="1" si="8"/>
        <v>0</v>
      </c>
      <c r="E56" s="556"/>
      <c r="F56" s="438"/>
      <c r="G56" s="439"/>
      <c r="I56" s="518" t="b">
        <v>1</v>
      </c>
    </row>
    <row r="57" spans="2:9" ht="48" customHeight="1">
      <c r="B57" s="434" t="s">
        <v>1186</v>
      </c>
      <c r="C57" s="435">
        <f ca="1">IF(Kontrola,IF(IF(Výjimka,Bilance!I34,Bilance!I33)/C56&lt;0.05,0.05*C56,IF(Výjimka,Bilance!I34,Bilance!I33)),0)</f>
        <v>0</v>
      </c>
      <c r="D57" s="435">
        <f t="shared" ca="1" si="8"/>
        <v>0</v>
      </c>
      <c r="E57" s="557"/>
      <c r="F57" s="440"/>
      <c r="G57" s="441"/>
      <c r="I57" s="518" t="b">
        <v>1</v>
      </c>
    </row>
    <row r="58" spans="2:9" ht="48" customHeight="1">
      <c r="B58" s="434" t="s">
        <v>1058</v>
      </c>
      <c r="C58" s="435">
        <f ca="1">C56-C57</f>
        <v>0</v>
      </c>
      <c r="D58" s="435">
        <f t="shared" ca="1" si="8"/>
        <v>0</v>
      </c>
      <c r="E58" s="556"/>
      <c r="F58" s="438"/>
      <c r="G58" s="442"/>
      <c r="I58" s="518" t="b">
        <v>1</v>
      </c>
    </row>
    <row r="59" spans="2:9" ht="48" customHeight="1">
      <c r="B59" s="434" t="s">
        <v>1179</v>
      </c>
      <c r="C59" s="602">
        <f ca="1">IF(Kontrola,IFERROR(C58/C56,0),0)</f>
        <v>0</v>
      </c>
      <c r="D59" s="603"/>
      <c r="E59" s="586"/>
      <c r="F59" s="587"/>
      <c r="G59" s="442"/>
      <c r="I59" s="518" t="b">
        <v>1</v>
      </c>
    </row>
    <row r="60" spans="2:9" ht="48" customHeight="1">
      <c r="B60" s="434" t="s">
        <v>1177</v>
      </c>
      <c r="C60" s="435">
        <f ca="1">IF(Kontrola,Bilance!H35,0)</f>
        <v>0</v>
      </c>
      <c r="D60" s="435">
        <f t="shared" ca="1" si="8"/>
        <v>0</v>
      </c>
      <c r="E60" s="556"/>
      <c r="F60" s="438"/>
      <c r="G60" s="442"/>
      <c r="I60" s="501" t="b">
        <v>1</v>
      </c>
    </row>
    <row r="61" spans="2:9" ht="48" customHeight="1">
      <c r="B61" s="434" t="s">
        <v>1187</v>
      </c>
      <c r="C61" s="435">
        <f ca="1">IF(Kontrola,IF(Bilance!I35/C60&lt;0.05,0.05*C60,Bilance!I35),0)</f>
        <v>0</v>
      </c>
      <c r="D61" s="435">
        <f t="shared" ca="1" si="8"/>
        <v>0</v>
      </c>
      <c r="E61" s="556"/>
      <c r="F61" s="438"/>
      <c r="G61" s="442"/>
      <c r="I61" s="501" t="b">
        <v>1</v>
      </c>
    </row>
    <row r="62" spans="2:9" ht="48" customHeight="1">
      <c r="B62" s="434" t="s">
        <v>1176</v>
      </c>
      <c r="C62" s="435">
        <f ca="1">C60-C61</f>
        <v>0</v>
      </c>
      <c r="D62" s="435">
        <f ca="1">IF(Kontrola,C62*kWh_na_GJ,0)</f>
        <v>0</v>
      </c>
      <c r="E62" s="586"/>
      <c r="F62" s="587"/>
      <c r="G62" s="442"/>
      <c r="I62" s="501" t="b">
        <v>1</v>
      </c>
    </row>
    <row r="63" spans="2:9" ht="48" customHeight="1">
      <c r="B63" s="434" t="s">
        <v>1178</v>
      </c>
      <c r="C63" s="565">
        <f ca="1">MIN(IF(Kontrola,IFERROR(C62/C60,0),0),1)</f>
        <v>0</v>
      </c>
      <c r="D63" s="565"/>
      <c r="E63" s="546"/>
      <c r="F63" s="546"/>
      <c r="G63" s="547"/>
      <c r="I63" s="501" t="b">
        <v>1</v>
      </c>
    </row>
    <row r="64" spans="2:9" ht="48" customHeight="1" thickBot="1">
      <c r="B64" s="434" t="s">
        <v>892</v>
      </c>
      <c r="C64" s="578">
        <f ca="1">IF(Kontrola,Bilance!M35,0)</f>
        <v>0</v>
      </c>
      <c r="D64" s="578"/>
      <c r="E64" s="443"/>
      <c r="F64" s="444"/>
      <c r="G64" s="445"/>
      <c r="I64" s="501" t="b">
        <v>1</v>
      </c>
    </row>
    <row r="65" spans="1:9" ht="48" customHeight="1" thickBot="1">
      <c r="B65" s="434" t="s">
        <v>893</v>
      </c>
      <c r="C65" s="579">
        <f ca="1">MIN(IF(Kontrola,IFERROR(Bilance!M35/Bilance!K35,0),0),1)</f>
        <v>0</v>
      </c>
      <c r="D65" s="579"/>
      <c r="E65" s="433"/>
      <c r="F65" s="429"/>
      <c r="G65" s="430"/>
      <c r="I65" s="501" t="b">
        <v>1</v>
      </c>
    </row>
    <row r="66" spans="1:9" ht="48" customHeight="1" thickBot="1">
      <c r="B66" s="434" t="s">
        <v>771</v>
      </c>
      <c r="C66" s="583">
        <f ca="1">IF(Kontrola,Bilance!P35,0)</f>
        <v>0</v>
      </c>
      <c r="D66" s="583"/>
      <c r="E66" s="433"/>
      <c r="F66" s="429"/>
      <c r="G66" s="430"/>
      <c r="I66" s="501" t="b">
        <v>1</v>
      </c>
    </row>
    <row r="67" spans="1:9" ht="48" customHeight="1" thickBot="1">
      <c r="B67" s="434" t="s">
        <v>894</v>
      </c>
      <c r="C67" s="583">
        <f ca="1">IF(Kontrola,Bilance!S35,0)</f>
        <v>0</v>
      </c>
      <c r="D67" s="583"/>
      <c r="E67" s="433"/>
      <c r="F67" s="429"/>
      <c r="G67" s="430"/>
      <c r="I67" s="501" t="b">
        <v>1</v>
      </c>
    </row>
    <row r="68" spans="1:9" s="501" customFormat="1" ht="48" customHeight="1" thickBot="1">
      <c r="A68" s="500"/>
      <c r="B68" s="434" t="s">
        <v>895</v>
      </c>
      <c r="C68" s="583">
        <f ca="1">IF(Kontrola,Bilance!V34,0)</f>
        <v>0</v>
      </c>
      <c r="D68" s="583"/>
      <c r="E68" s="433"/>
      <c r="F68" s="429"/>
      <c r="G68" s="430"/>
      <c r="I68" s="501" t="b">
        <v>1</v>
      </c>
    </row>
    <row r="69" spans="1:9" s="501" customFormat="1" ht="48" customHeight="1" thickBot="1">
      <c r="A69" s="500"/>
      <c r="B69" s="434" t="s">
        <v>772</v>
      </c>
      <c r="C69" s="580">
        <f ca="1">IF(Kontrola,Bilance!Y35,0)</f>
        <v>0</v>
      </c>
      <c r="D69" s="580"/>
      <c r="E69" s="433"/>
      <c r="F69" s="429"/>
      <c r="G69" s="430"/>
      <c r="I69" s="501" t="b">
        <v>1</v>
      </c>
    </row>
    <row r="70" spans="1:9" ht="25.15" customHeight="1" thickBot="1">
      <c r="B70" s="446"/>
      <c r="C70" s="447"/>
      <c r="D70" s="447"/>
      <c r="E70" s="448"/>
      <c r="F70" s="449"/>
      <c r="G70" s="450"/>
      <c r="I70" s="501" t="b">
        <v>1</v>
      </c>
    </row>
    <row r="71" spans="1:9" ht="73.5" customHeight="1">
      <c r="B71" s="492" t="s">
        <v>773</v>
      </c>
      <c r="C71" s="581" t="str">
        <f ca="1">IF(OR(N31,I79),"Kalkulačku nelze použít.",IF(Kontrola,IF(Způsobilost,"Projekt je způsobilý k podpoře.","Projekt není způsobilý k podpoře."),"Nejsou správně vyplněna všechna data."))</f>
        <v>Nejsou správně vyplněna všechna data.</v>
      </c>
      <c r="D71" s="582"/>
      <c r="E71" s="500"/>
      <c r="F71" s="451"/>
      <c r="G71" s="452"/>
      <c r="I71" s="518" t="b">
        <v>1</v>
      </c>
    </row>
    <row r="72" spans="1:9" ht="36" customHeight="1">
      <c r="B72" s="572" t="str">
        <f ca="1">IF(NOT(Zateplení!M81),"Data pro zateplení nejsou kompletní.","Zateplení nesplňuje podmínky programu.") &amp; " Viz list Zateplení."</f>
        <v>Data pro zateplení nejsou kompletní. Viz list Zateplení.</v>
      </c>
      <c r="C72" s="573"/>
      <c r="D72" s="574"/>
      <c r="E72" s="500"/>
      <c r="F72" s="451"/>
      <c r="G72" s="452"/>
      <c r="I72" s="518" t="b">
        <f ca="1">AND(je_zateplení,OR(Zateplení!N42:N83,NOT(Zateplení!M81)),NOT(AND(Výjimka,Zateplení!M20)))</f>
        <v>1</v>
      </c>
    </row>
    <row r="73" spans="1:9" ht="36" hidden="1" customHeight="1">
      <c r="B73" s="572" t="str">
        <f>IF(NOT(Rekuperace!K6),"Data pro rekuperaci nejsou kompletní.","Rekuperace nesplňuje podmínky programu.") &amp; " Viz list Rekuperace."</f>
        <v>Data pro rekuperaci nejsou kompletní. Viz list Rekuperace.</v>
      </c>
      <c r="C73" s="573"/>
      <c r="D73" s="574"/>
      <c r="E73" s="500"/>
      <c r="F73" s="451"/>
      <c r="G73" s="452"/>
      <c r="I73" s="518" t="b">
        <f>AND(je_rekuperace,OR(Rekuperace!L4:L6,NOT(Rekuperace!K6)))</f>
        <v>0</v>
      </c>
    </row>
    <row r="74" spans="1:9" ht="36" hidden="1" customHeight="1">
      <c r="B74" s="572" t="s">
        <v>1051</v>
      </c>
      <c r="C74" s="573"/>
      <c r="D74" s="574"/>
      <c r="E74" s="500"/>
      <c r="F74" s="451"/>
      <c r="G74" s="452"/>
      <c r="I74" s="518" t="b">
        <f>AND(je_osvětlení,NOT(Osvětlení!L41))</f>
        <v>0</v>
      </c>
    </row>
    <row r="75" spans="1:9" ht="36" hidden="1" customHeight="1">
      <c r="B75" s="572" t="str">
        <f>IF(NOT(Zdroj!L24),"Data pro zdroj nejsou kompletní.","Zdroj nesplňuje podmínky programu.") &amp; " Viz list Zdroj."</f>
        <v>Data pro zdroj nejsou kompletní. Viz list Zdroj.</v>
      </c>
      <c r="C75" s="573"/>
      <c r="D75" s="574"/>
      <c r="E75" s="500"/>
      <c r="F75" s="451"/>
      <c r="G75" s="452"/>
      <c r="I75" s="518" t="b">
        <f>AND(je_zdroj,OR(Zdroj!M4:M24,NOT(Zdroj!L24)))</f>
        <v>0</v>
      </c>
    </row>
    <row r="76" spans="1:9" ht="36" hidden="1" customHeight="1">
      <c r="B76" s="575" t="str">
        <f>IF(NOT(FVE!L8),"Data pro FVE nejsou kompletní.","FVE nesplňuje podmínky programu.") &amp; " Viz list FVE."</f>
        <v>Data pro FVE nejsou kompletní. Viz list FVE.</v>
      </c>
      <c r="C76" s="576"/>
      <c r="D76" s="577"/>
      <c r="E76" s="500"/>
      <c r="F76" s="451"/>
      <c r="G76" s="452"/>
      <c r="I76" s="518" t="b">
        <f>AND(je_FVE,OR(FVE!M4:M8,NOT(FVE!L8)))</f>
        <v>0</v>
      </c>
    </row>
    <row r="77" spans="1:9" ht="36" customHeight="1">
      <c r="B77" s="575" t="s">
        <v>1164</v>
      </c>
      <c r="C77" s="576"/>
      <c r="D77" s="577"/>
      <c r="E77" s="500"/>
      <c r="F77" s="451"/>
      <c r="G77" s="452"/>
      <c r="I77" s="518" t="b">
        <f ca="1">AND(NOT(Výjimka),C59&lt;0.1)</f>
        <v>1</v>
      </c>
    </row>
    <row r="78" spans="1:9" ht="36" hidden="1" customHeight="1">
      <c r="B78" s="575" t="s">
        <v>756</v>
      </c>
      <c r="C78" s="576"/>
      <c r="D78" s="577"/>
      <c r="E78" s="500"/>
      <c r="F78" s="451"/>
      <c r="G78" s="452"/>
      <c r="I78" s="518" t="b">
        <f>J14=ano</f>
        <v>0</v>
      </c>
    </row>
    <row r="79" spans="1:9" ht="36" hidden="1" customHeight="1">
      <c r="B79" s="575" t="s">
        <v>1052</v>
      </c>
      <c r="C79" s="576"/>
      <c r="D79" s="577"/>
      <c r="E79" s="500"/>
      <c r="F79" s="451"/>
      <c r="G79" s="452"/>
      <c r="I79" s="518" t="b">
        <f>J15="bloková výjimka"</f>
        <v>0</v>
      </c>
    </row>
    <row r="80" spans="1:9" ht="36" hidden="1" customHeight="1">
      <c r="B80" s="575" t="s">
        <v>1053</v>
      </c>
      <c r="C80" s="576"/>
      <c r="D80" s="577"/>
      <c r="E80" s="500"/>
      <c r="F80" s="451"/>
      <c r="G80" s="452"/>
      <c r="I80" s="518" t="b">
        <f>N31</f>
        <v>0</v>
      </c>
    </row>
    <row r="81" spans="1:44" ht="36" hidden="1" customHeight="1">
      <c r="B81" s="575" t="s">
        <v>1054</v>
      </c>
      <c r="C81" s="576"/>
      <c r="D81" s="577"/>
      <c r="E81" s="500"/>
      <c r="F81" s="451"/>
      <c r="G81" s="452"/>
      <c r="I81" s="518" t="b">
        <f ca="1">IFERROR(AND(je_FVE,C54/Bilance!G35&gt;Globální!B9),FALSE)</f>
        <v>0</v>
      </c>
    </row>
    <row r="82" spans="1:44" ht="36" hidden="1" customHeight="1">
      <c r="B82" s="575" t="s">
        <v>1163</v>
      </c>
      <c r="C82" s="576"/>
      <c r="D82" s="577"/>
      <c r="E82" s="500"/>
      <c r="F82" s="451"/>
      <c r="G82" s="452"/>
      <c r="I82" s="518" t="b">
        <f>AND(je_zdroj,NOT(je_zateplení),NOT(Výjimka))</f>
        <v>0</v>
      </c>
    </row>
    <row r="83" spans="1:44" ht="36" hidden="1" customHeight="1">
      <c r="B83" s="575" t="s">
        <v>1062</v>
      </c>
      <c r="C83" s="576"/>
      <c r="D83" s="577"/>
      <c r="E83" s="500"/>
      <c r="F83" s="451"/>
      <c r="G83" s="452"/>
      <c r="I83" s="518" t="b">
        <f>AND(je_FVE,NOT(OR(je_zateplení,je_rekuperace,je_osvětlení)))</f>
        <v>0</v>
      </c>
    </row>
    <row r="84" spans="1:44" ht="36" hidden="1" customHeight="1">
      <c r="B84" s="575" t="s">
        <v>1068</v>
      </c>
      <c r="C84" s="576"/>
      <c r="D84" s="577"/>
      <c r="E84" s="500"/>
      <c r="F84" s="451"/>
      <c r="G84" s="452"/>
      <c r="I84" s="518" t="b">
        <f>NOT(OR(je_zateplení,je_rekuperace,je_osvětlení,je_zdroj,je_FVE))</f>
        <v>0</v>
      </c>
    </row>
    <row r="85" spans="1:44" ht="16.149999999999999" customHeight="1">
      <c r="B85" s="500"/>
      <c r="C85" s="500"/>
      <c r="D85" s="500"/>
      <c r="E85" s="500"/>
      <c r="F85" s="500"/>
      <c r="G85" s="500"/>
      <c r="I85" s="501" t="b">
        <v>1</v>
      </c>
    </row>
    <row r="86" spans="1:44" s="529" customFormat="1" ht="36" customHeight="1" thickBot="1">
      <c r="A86" s="527">
        <v>1</v>
      </c>
      <c r="B86" s="412" t="s">
        <v>774</v>
      </c>
      <c r="C86" s="412"/>
      <c r="D86" s="412"/>
      <c r="E86" s="412"/>
      <c r="F86" s="412"/>
      <c r="G86" s="412"/>
      <c r="H86" s="528"/>
      <c r="I86" s="501" t="b">
        <v>1</v>
      </c>
      <c r="J86" s="528"/>
      <c r="K86" s="528"/>
      <c r="L86" s="528"/>
      <c r="M86" s="528"/>
      <c r="N86" s="528"/>
      <c r="O86" s="528"/>
      <c r="P86" s="528"/>
      <c r="Q86" s="528"/>
      <c r="R86" s="528"/>
      <c r="S86" s="528"/>
      <c r="T86" s="528"/>
      <c r="U86" s="528"/>
      <c r="V86" s="528"/>
      <c r="W86" s="528"/>
      <c r="X86" s="528"/>
      <c r="Y86" s="528"/>
      <c r="Z86" s="528"/>
      <c r="AA86" s="528"/>
      <c r="AC86" s="528"/>
      <c r="AD86" s="528"/>
      <c r="AE86" s="528"/>
      <c r="AF86" s="528"/>
      <c r="AG86" s="528"/>
      <c r="AH86" s="528"/>
      <c r="AI86" s="528"/>
      <c r="AJ86" s="528"/>
      <c r="AK86" s="528"/>
      <c r="AL86" s="528"/>
      <c r="AM86" s="528"/>
      <c r="AN86" s="528"/>
      <c r="AO86" s="528"/>
      <c r="AP86" s="528"/>
      <c r="AQ86" s="528"/>
      <c r="AR86" s="528"/>
    </row>
    <row r="87" spans="1:44" ht="36" customHeight="1">
      <c r="A87" s="530">
        <v>2</v>
      </c>
      <c r="B87" s="453" t="s">
        <v>775</v>
      </c>
      <c r="C87" s="566" t="s">
        <v>776</v>
      </c>
      <c r="D87" s="567"/>
      <c r="E87" s="566" t="s">
        <v>777</v>
      </c>
      <c r="F87" s="568"/>
      <c r="G87" s="531"/>
      <c r="I87" s="501" t="b">
        <v>1</v>
      </c>
    </row>
    <row r="88" spans="1:44" ht="36" hidden="1" customHeight="1">
      <c r="A88" s="530">
        <v>3</v>
      </c>
      <c r="B88" s="454" t="s">
        <v>967</v>
      </c>
      <c r="C88" s="569" t="str">
        <f>Zdroj!I16 &amp; ", instalovaný výkon " &amp; TEXT(Zdroj!E19,"### 0") &amp; " kW, " &amp; IF(ZdrojIdxNew=4, "COP " &amp; Zdroj!I21,"účinnost " &amp; Zdroj!I18*100 &amp; " %")</f>
        <v>, instalovaný výkon 0 kW, účinnost 0 %</v>
      </c>
      <c r="D88" s="569"/>
      <c r="E88" s="570" t="str">
        <f>IFERROR(INDEX(Zdroj!C29:C32,MATCH(TRUE,Zdroj!H29:H32,0)),"")</f>
        <v/>
      </c>
      <c r="F88" s="571"/>
      <c r="G88" s="571"/>
      <c r="I88" s="501" t="b">
        <f>je_zdroj</f>
        <v>0</v>
      </c>
    </row>
    <row r="89" spans="1:44" ht="36" hidden="1" customHeight="1">
      <c r="A89" s="530">
        <v>4</v>
      </c>
      <c r="B89" s="455" t="s">
        <v>310</v>
      </c>
      <c r="C89" s="584" t="str">
        <f ca="1">Zateplení!J43 &amp; ",  tloušťka " &amp; Zateplení!F44 &amp; " mm, plocha " &amp; TEXT(Zateplení!F45,"### 0") &amp; " m2"</f>
        <v>,  tloušťka  mm, plocha 0 m2</v>
      </c>
      <c r="D89" s="584"/>
      <c r="E89" s="584" t="str">
        <f>Zateplení!F49</f>
        <v>Zateplení obvodových stěn splňuje požadavky programu.</v>
      </c>
      <c r="F89" s="585"/>
      <c r="G89" s="585"/>
      <c r="I89" s="501" t="b">
        <f ca="1">AND(je_zateplení,ZatepleníStěn)</f>
        <v>0</v>
      </c>
    </row>
    <row r="90" spans="1:44" ht="36" hidden="1" customHeight="1">
      <c r="A90" s="530">
        <v>5</v>
      </c>
      <c r="B90" s="455" t="s">
        <v>329</v>
      </c>
      <c r="C90" s="584" t="str">
        <f ca="1">Zateplení!J51 &amp; ", tloušťka " &amp; Zateplení!F52 &amp; " mm, plocha " &amp; TEXT(Zateplení!F53,"### 0") &amp; " m2"</f>
        <v>, tloušťka  mm, plocha 0 m2</v>
      </c>
      <c r="D90" s="584"/>
      <c r="E90" s="584" t="str">
        <f>Zateplení!F57</f>
        <v>Zateplení střechy splňuje požadavky programu.</v>
      </c>
      <c r="F90" s="585"/>
      <c r="G90" s="585"/>
      <c r="I90" s="501" t="b">
        <f ca="1">AND(je_zateplení,ZatepleníStřechy)</f>
        <v>0</v>
      </c>
    </row>
    <row r="91" spans="1:44" ht="36" hidden="1" customHeight="1">
      <c r="A91" s="530">
        <v>6</v>
      </c>
      <c r="B91" s="455" t="s">
        <v>339</v>
      </c>
      <c r="C91" s="584" t="str">
        <f ca="1">Zateplení!J59 &amp; ", tloušťka " &amp; Zateplení!F60 &amp; " mm, plocha " &amp; TEXT(Zateplení!F61,"### 0") &amp; " m2"</f>
        <v>, tloušťka  mm, plocha 0 m2</v>
      </c>
      <c r="D91" s="584"/>
      <c r="E91" s="584" t="str">
        <f>Zateplení!F65</f>
        <v>Zateplení podlahy splňuje požadavky programu.</v>
      </c>
      <c r="F91" s="585"/>
      <c r="G91" s="585"/>
      <c r="I91" s="501" t="b">
        <f ca="1">AND(je_zateplení,ZatepleníPodlahy)</f>
        <v>0</v>
      </c>
    </row>
    <row r="92" spans="1:44" ht="36" hidden="1" customHeight="1">
      <c r="A92" s="530">
        <v>7</v>
      </c>
      <c r="B92" s="455" t="s">
        <v>968</v>
      </c>
      <c r="C92" s="584" t="str">
        <f ca="1">Zateplení!J67 &amp; ", plocha " &amp; TEXT(Zateplení!F68,"### 0") &amp; " m2, součinitel prostupu tepla " &amp; Zateplení!F69 &amp; " W/(m2.K)"</f>
        <v>, plocha 0 m2, součinitel prostupu tepla  W/(m2.K)</v>
      </c>
      <c r="D92" s="584"/>
      <c r="E92" s="584" t="str">
        <f ca="1">Zateplení!F71</f>
        <v>Okna splňují požadavky programu.</v>
      </c>
      <c r="F92" s="585"/>
      <c r="G92" s="585"/>
      <c r="I92" s="501" t="b">
        <f ca="1">AND(je_zateplení,VýměnaOken)</f>
        <v>0</v>
      </c>
    </row>
    <row r="93" spans="1:44" ht="36" hidden="1" customHeight="1">
      <c r="A93" s="530">
        <v>8</v>
      </c>
      <c r="B93" s="455" t="s">
        <v>361</v>
      </c>
      <c r="C93" s="584" t="str">
        <f ca="1">Zateplení!J73 &amp; ", plocha " &amp; TEXT(Zateplení!F74,"### 0") &amp; " m2, součinitel prostupu tepla " &amp; Zateplení!F75 &amp; " W/(m2.K)"</f>
        <v>, plocha 0 m2, součinitel prostupu tepla  W/(m2.K)</v>
      </c>
      <c r="D93" s="584"/>
      <c r="E93" s="584" t="str">
        <f ca="1">Zateplení!F77</f>
        <v>Dveře/vrata splňují požadavky programu.</v>
      </c>
      <c r="F93" s="585"/>
      <c r="G93" s="585"/>
      <c r="I93" s="501" t="b">
        <f ca="1">AND(je_zateplení,VýměnaDveří)</f>
        <v>0</v>
      </c>
    </row>
    <row r="94" spans="1:44" ht="36" hidden="1" customHeight="1">
      <c r="A94" s="530">
        <v>9</v>
      </c>
      <c r="B94" s="455" t="s">
        <v>969</v>
      </c>
      <c r="C94" s="584" t="str">
        <f ca="1">Zateplení!J79 &amp; ", plocha " &amp; TEXT(Zateplení!F80,"### 0") &amp; " m2, součinitel prostupu tepla " &amp; Zateplení!F81 &amp; " W/(m2.K)"</f>
        <v>, plocha 0 m2, součinitel prostupu tepla  W/(m2.K)</v>
      </c>
      <c r="D94" s="584"/>
      <c r="E94" s="584" t="str">
        <f ca="1">Zateplení!F83</f>
        <v>Světlíky/střešní okna splňují požadavky programu.</v>
      </c>
      <c r="F94" s="585"/>
      <c r="G94" s="585"/>
      <c r="I94" s="501" t="b">
        <f ca="1">AND(je_zateplení,VýměnaSvětlíků)</f>
        <v>0</v>
      </c>
    </row>
    <row r="95" spans="1:44" ht="36" hidden="1" customHeight="1">
      <c r="A95" s="530">
        <v>10</v>
      </c>
      <c r="B95" s="455" t="s">
        <v>970</v>
      </c>
      <c r="C95" s="584" t="str">
        <f>IF(je_rekuperace,"účinnost rekuperace " &amp; Rekuperace!D4*100 &amp; " %, objem vzduchu " &amp; TEXT(Rekuperace!D5,"### 0") &amp; " m3/h","")</f>
        <v/>
      </c>
      <c r="D95" s="584"/>
      <c r="E95" s="584" t="str">
        <f>IFERROR(INDEX(Rekuperace!C9:C10,MATCH(TRUE,Rekuperace!G9:G10,0)),"")</f>
        <v/>
      </c>
      <c r="F95" s="585"/>
      <c r="G95" s="585"/>
      <c r="I95" s="501" t="b">
        <f>je_rekuperace</f>
        <v>0</v>
      </c>
    </row>
    <row r="96" spans="1:44" ht="36" hidden="1" customHeight="1">
      <c r="A96" s="530">
        <v>11</v>
      </c>
      <c r="B96" s="455" t="s">
        <v>971</v>
      </c>
      <c r="C96" s="584" t="str">
        <f>"počet vyměňovaných zdrojů " &amp; TEXT(Osvětlení!E5,"### 0") &amp; ", celkový příkon " &amp; TEXT(IF(Osvětlení!I6=ano,Osvětlení!I7,Osvětlení!I5*Osvětlení!I8),"### 0") &amp; " W, průměrný příkon zdroje " &amp; TEXT(IF(Osvětlení!I6=ano,IFERROR(Osvětlení!I7/Osvětlení!I5,0),Osvětlení!I8),"### 0") &amp; " W"</f>
        <v>počet vyměňovaných zdrojů 0, celkový příkon 0 W, průměrný příkon zdroje 0 W</v>
      </c>
      <c r="D96" s="584"/>
      <c r="E96" s="584"/>
      <c r="F96" s="585"/>
      <c r="G96" s="585"/>
      <c r="I96" s="501" t="b">
        <f>AND(je_osvětlení,Osvětlení!I4=ano)</f>
        <v>0</v>
      </c>
    </row>
    <row r="97" spans="1:9" ht="36" hidden="1" customHeight="1">
      <c r="A97" s="530">
        <v>12</v>
      </c>
      <c r="B97" s="455" t="s">
        <v>972</v>
      </c>
      <c r="C97" s="584" t="str">
        <f>"počet vyměňovaných zdrojů " &amp; TEXT(Osvětlení!I11,"### 0") &amp; ", celkový příkon " &amp; TEXT(IF(Osvětlení!I12=ano,Osvětlení!I13,Osvětlení!I11*Osvětlení!I14),"### 0") &amp; " W, průměrný příkon zdroje " &amp; TEXT(IF(Osvětlení!I12=ano,IFERROR(Osvětlení!I13/Osvětlení!I11,0),Osvětlení!I14),"### 0") &amp; " W"</f>
        <v>počet vyměňovaných zdrojů 0, celkový příkon 0 W, průměrný příkon zdroje 0 W</v>
      </c>
      <c r="D97" s="584"/>
      <c r="E97" s="584"/>
      <c r="F97" s="585"/>
      <c r="G97" s="585"/>
      <c r="I97" s="501" t="b">
        <f>AND(je_osvětlení,Osvětlení!I10=ano)</f>
        <v>0</v>
      </c>
    </row>
    <row r="98" spans="1:9" ht="36" hidden="1" customHeight="1">
      <c r="A98" s="530">
        <v>13</v>
      </c>
      <c r="B98" s="455" t="s">
        <v>973</v>
      </c>
      <c r="C98" s="584" t="str">
        <f>"počet vyměňovaných zdrojů " &amp; TEXT(Osvětlení!I17,"### 0") &amp; ", celkový příkon " &amp; TEXT(IF(Osvětlení!I18=ano,Osvětlení!I19,Osvětlení!I17*Osvětlení!I20),"### 0") &amp; " W, průměrný příkon zdroje " &amp; TEXT(IF(Osvětlení!I18=ano,IFERROR(Osvětlení!I19/Osvětlení!I17,0),Osvětlení!I20),"### 0") &amp; " W"</f>
        <v>počet vyměňovaných zdrojů 0, celkový příkon 0 W, průměrný příkon zdroje 0 W</v>
      </c>
      <c r="D98" s="584"/>
      <c r="E98" s="584"/>
      <c r="F98" s="585"/>
      <c r="G98" s="585"/>
      <c r="I98" s="501" t="b">
        <f>AND(je_osvětlení,Osvětlení!I16=ano)</f>
        <v>0</v>
      </c>
    </row>
    <row r="99" spans="1:9" ht="36" hidden="1" customHeight="1">
      <c r="A99" s="530">
        <v>14</v>
      </c>
      <c r="B99" s="455" t="s">
        <v>974</v>
      </c>
      <c r="C99" s="584" t="str">
        <f>"počet vyměňovaných zdrojů " &amp; TEXT(Osvětlení!I23,"### 0") &amp; ", celkový příkon " &amp; TEXT(IF(Osvětlení!I24=ano,Osvětlení!I25,Osvětlení!I23*Osvětlení!I26),"### 0") &amp; " W, průměrný příkon zdroje " &amp; TEXT(IF(Osvětlení!I24=ano,IFERROR(Osvětlení!I25/Osvětlení!I23,0),Osvětlení!I26),"### 0") &amp; " W"</f>
        <v>počet vyměňovaných zdrojů 0, celkový příkon 0 W, průměrný příkon zdroje 0 W</v>
      </c>
      <c r="D99" s="584"/>
      <c r="E99" s="584"/>
      <c r="F99" s="585"/>
      <c r="G99" s="585"/>
      <c r="I99" s="501" t="b">
        <f>AND(je_osvětlení,Osvětlení!I22=ano)</f>
        <v>0</v>
      </c>
    </row>
    <row r="100" spans="1:9" ht="36" hidden="1" customHeight="1">
      <c r="A100" s="530"/>
      <c r="B100" s="455" t="s">
        <v>975</v>
      </c>
      <c r="C100" s="584" t="str">
        <f>"počet vyměňovaných zdrojů " &amp; TEXT(Osvětlení!I29,"### 0") &amp; ", celkový příkon " &amp; TEXT(IF(Osvětlení!I30=ano,Osvětlení!I31,Osvětlení!I29*Osvětlení!I32),"### 0") &amp; " W, průměrný příkon zdroje " &amp; TEXT(IF(Osvětlení!I30=ano,IFERROR(Osvětlení!I31/Osvětlení!I29,0),Osvětlení!I32),"### 0") &amp; " W"</f>
        <v>počet vyměňovaných zdrojů 0, celkový příkon 0 W, průměrný příkon zdroje 0 W</v>
      </c>
      <c r="D100" s="584"/>
      <c r="E100" s="584"/>
      <c r="F100" s="585"/>
      <c r="G100" s="585"/>
      <c r="I100" s="501" t="b">
        <f>AND(je_osvětlení,Osvětlení!I28=ano)</f>
        <v>0</v>
      </c>
    </row>
    <row r="101" spans="1:9" ht="36" hidden="1" customHeight="1">
      <c r="A101" s="530"/>
      <c r="B101" s="455" t="s">
        <v>0</v>
      </c>
      <c r="C101" s="584" t="str">
        <f>IF(je_FVE,"instalovaný výkon "&amp;FVE!I4&amp;" kWp, roční výroba elektřiny " &amp; TEXT(FVE!I5,"### 0") &amp; " kWh, kapacita baterie " &amp; FVE!I7 &amp; " kWh","")</f>
        <v/>
      </c>
      <c r="D101" s="584"/>
      <c r="E101" s="584" t="str">
        <f>IFERROR(INDEX(FVE!C11:C15,MATCH(TRUE,FVE!H11:H15,0)),"")</f>
        <v/>
      </c>
      <c r="F101" s="585"/>
      <c r="G101" s="585"/>
      <c r="I101" s="501" t="b">
        <f>je_FVE</f>
        <v>0</v>
      </c>
    </row>
    <row r="102" spans="1:9">
      <c r="B102" s="500"/>
      <c r="C102" s="500"/>
      <c r="D102" s="500"/>
      <c r="E102" s="500"/>
      <c r="F102" s="500"/>
      <c r="G102" s="500"/>
      <c r="I102" s="501" t="b">
        <v>1</v>
      </c>
    </row>
    <row r="103" spans="1:9">
      <c r="B103" s="500"/>
      <c r="C103" s="500"/>
      <c r="D103" s="500"/>
      <c r="E103" s="500"/>
      <c r="F103" s="500"/>
      <c r="G103" s="500"/>
      <c r="I103" s="501" t="b">
        <v>1</v>
      </c>
    </row>
    <row r="104" spans="1:9">
      <c r="B104" s="500"/>
      <c r="C104" s="500"/>
      <c r="D104" s="500"/>
      <c r="E104" s="500"/>
      <c r="F104" s="500"/>
      <c r="G104" s="500"/>
      <c r="I104" s="501" t="b">
        <v>1</v>
      </c>
    </row>
    <row r="105" spans="1:9">
      <c r="B105" s="500"/>
      <c r="C105" s="500"/>
      <c r="D105" s="500"/>
      <c r="E105" s="500"/>
      <c r="F105" s="500"/>
      <c r="G105" s="500"/>
      <c r="I105" s="501" t="b">
        <v>1</v>
      </c>
    </row>
    <row r="106" spans="1:9">
      <c r="B106" s="500"/>
      <c r="C106" s="500"/>
      <c r="D106" s="500"/>
      <c r="E106" s="500"/>
      <c r="F106" s="500"/>
      <c r="G106" s="500"/>
      <c r="I106" s="501" t="b">
        <v>1</v>
      </c>
    </row>
    <row r="107" spans="1:9">
      <c r="B107" s="500"/>
      <c r="C107" s="500"/>
      <c r="D107" s="500"/>
      <c r="E107" s="500"/>
      <c r="F107" s="500"/>
      <c r="G107" s="500"/>
      <c r="H107" s="500"/>
      <c r="I107" s="501" t="b">
        <v>1</v>
      </c>
    </row>
    <row r="108" spans="1:9">
      <c r="B108" s="500"/>
      <c r="C108" s="500"/>
      <c r="D108" s="500"/>
      <c r="E108" s="500"/>
      <c r="F108" s="500"/>
      <c r="G108" s="500"/>
      <c r="H108" s="500"/>
      <c r="I108" s="501" t="b">
        <v>1</v>
      </c>
    </row>
    <row r="109" spans="1:9">
      <c r="B109" s="500"/>
      <c r="C109" s="500"/>
      <c r="D109" s="500"/>
      <c r="E109" s="500"/>
      <c r="F109" s="500"/>
      <c r="G109" s="500"/>
      <c r="H109" s="500"/>
      <c r="I109" s="501" t="b">
        <v>1</v>
      </c>
    </row>
    <row r="110" spans="1:9">
      <c r="B110" s="500" t="s">
        <v>778</v>
      </c>
      <c r="C110" s="500"/>
      <c r="D110" s="500"/>
      <c r="E110" s="500"/>
      <c r="F110" s="500"/>
      <c r="G110" s="500"/>
      <c r="H110" s="500"/>
      <c r="I110" s="501" t="b">
        <v>1</v>
      </c>
    </row>
    <row r="111" spans="1:9">
      <c r="B111" s="544"/>
      <c r="C111" s="500"/>
      <c r="D111" s="500"/>
      <c r="E111" s="500"/>
      <c r="F111" s="500"/>
      <c r="G111" s="500"/>
      <c r="H111" s="500"/>
      <c r="I111" s="501" t="b">
        <f>AdminMode</f>
        <v>0</v>
      </c>
    </row>
    <row r="112" spans="1:9">
      <c r="B112" s="500"/>
      <c r="C112" s="500"/>
      <c r="D112" s="500"/>
      <c r="E112" s="500"/>
      <c r="F112" s="500"/>
      <c r="G112" s="500"/>
      <c r="H112" s="500"/>
      <c r="I112" s="501" t="b">
        <v>1</v>
      </c>
    </row>
    <row r="113" spans="1:9">
      <c r="A113" s="532" t="s">
        <v>16</v>
      </c>
      <c r="B113" s="500"/>
      <c r="C113" s="500"/>
      <c r="D113" s="500"/>
      <c r="E113" s="500"/>
      <c r="F113" s="500"/>
      <c r="G113" s="500"/>
      <c r="H113" s="500"/>
      <c r="I113" s="501" t="b">
        <v>1</v>
      </c>
    </row>
  </sheetData>
  <sheetProtection algorithmName="SHA-512" hashValue="yEuQwkwWXglz9jRS3zlVvLOekrP3C11L06KxeSH5igGKCJuRt63PrrNGkeWD156o5KPJaPVd8H8jfKLTVkwHEA==" saltValue="4sCn+Sx7ehTwYS3vGiTbSA==" spinCount="100000" sheet="1" objects="1" scenarios="1"/>
  <mergeCells count="81">
    <mergeCell ref="C67:D67"/>
    <mergeCell ref="C68:D68"/>
    <mergeCell ref="B84:D84"/>
    <mergeCell ref="B82:D82"/>
    <mergeCell ref="B83:D83"/>
    <mergeCell ref="B78:D78"/>
    <mergeCell ref="B79:D79"/>
    <mergeCell ref="B80:D80"/>
    <mergeCell ref="B81:D81"/>
    <mergeCell ref="C9:G9"/>
    <mergeCell ref="B3:E3"/>
    <mergeCell ref="B4:E4"/>
    <mergeCell ref="C6:G6"/>
    <mergeCell ref="C7:G7"/>
    <mergeCell ref="C8:G8"/>
    <mergeCell ref="C10:G10"/>
    <mergeCell ref="C11:G11"/>
    <mergeCell ref="E15:G15"/>
    <mergeCell ref="C22:D22"/>
    <mergeCell ref="C20:D20"/>
    <mergeCell ref="C21:D21"/>
    <mergeCell ref="E14:G14"/>
    <mergeCell ref="C19:D19"/>
    <mergeCell ref="E62:F62"/>
    <mergeCell ref="C42:D42"/>
    <mergeCell ref="C49:D49"/>
    <mergeCell ref="C23:D23"/>
    <mergeCell ref="B26:C26"/>
    <mergeCell ref="B28:C28"/>
    <mergeCell ref="B29:C29"/>
    <mergeCell ref="B30:C30"/>
    <mergeCell ref="B27:C27"/>
    <mergeCell ref="C44:D44"/>
    <mergeCell ref="B31:C31"/>
    <mergeCell ref="E54:F54"/>
    <mergeCell ref="C59:D59"/>
    <mergeCell ref="E59:F59"/>
    <mergeCell ref="C55:D55"/>
    <mergeCell ref="C53:D53"/>
    <mergeCell ref="C101:D101"/>
    <mergeCell ref="E101:G101"/>
    <mergeCell ref="C99:D99"/>
    <mergeCell ref="E99:G99"/>
    <mergeCell ref="C91:D91"/>
    <mergeCell ref="E91:G91"/>
    <mergeCell ref="C92:D92"/>
    <mergeCell ref="E92:G92"/>
    <mergeCell ref="C93:D93"/>
    <mergeCell ref="E93:G93"/>
    <mergeCell ref="C97:D97"/>
    <mergeCell ref="E97:G97"/>
    <mergeCell ref="C98:D98"/>
    <mergeCell ref="E98:G98"/>
    <mergeCell ref="C94:D94"/>
    <mergeCell ref="E94:G94"/>
    <mergeCell ref="C89:D89"/>
    <mergeCell ref="E89:G89"/>
    <mergeCell ref="C90:D90"/>
    <mergeCell ref="E90:G90"/>
    <mergeCell ref="C100:D100"/>
    <mergeCell ref="E100:G100"/>
    <mergeCell ref="C95:D95"/>
    <mergeCell ref="E95:G95"/>
    <mergeCell ref="C96:D96"/>
    <mergeCell ref="E96:G96"/>
    <mergeCell ref="C63:D63"/>
    <mergeCell ref="C87:D87"/>
    <mergeCell ref="E87:F87"/>
    <mergeCell ref="C88:D88"/>
    <mergeCell ref="E88:G88"/>
    <mergeCell ref="B74:D74"/>
    <mergeCell ref="B75:D75"/>
    <mergeCell ref="B76:D76"/>
    <mergeCell ref="B77:D77"/>
    <mergeCell ref="B72:D72"/>
    <mergeCell ref="B73:D73"/>
    <mergeCell ref="C64:D64"/>
    <mergeCell ref="C65:D65"/>
    <mergeCell ref="C69:D69"/>
    <mergeCell ref="C71:D71"/>
    <mergeCell ref="C66:D66"/>
  </mergeCells>
  <conditionalFormatting sqref="B35 D35">
    <cfRule type="expression" dxfId="130" priority="44">
      <formula>OR($E$20=0,$E$20=FALSE)</formula>
    </cfRule>
  </conditionalFormatting>
  <conditionalFormatting sqref="B37 B39 B35 D35 D39 D37">
    <cfRule type="expression" dxfId="129" priority="42">
      <formula>OR($E$21=0,$E$21=FALSE)</formula>
    </cfRule>
  </conditionalFormatting>
  <conditionalFormatting sqref="D39 D35:F38">
    <cfRule type="containsText" dxfId="128" priority="40" operator="containsText" text="celý">
      <formula>NOT(ISERROR(SEARCH("celý",D35)))</formula>
    </cfRule>
    <cfRule type="containsText" dxfId="127" priority="41" operator="containsText" text="doplňte">
      <formula>NOT(ISERROR(SEARCH("doplňte",D35)))</formula>
    </cfRule>
  </conditionalFormatting>
  <conditionalFormatting sqref="B35 B37:B39 D38:G38 D35:G35 D39 D35:F37">
    <cfRule type="expression" dxfId="126" priority="38">
      <formula>$H$33=FALSE</formula>
    </cfRule>
  </conditionalFormatting>
  <conditionalFormatting sqref="C66">
    <cfRule type="cellIs" dxfId="125" priority="36" operator="greaterThan">
      <formula>10</formula>
    </cfRule>
  </conditionalFormatting>
  <conditionalFormatting sqref="C67">
    <cfRule type="cellIs" dxfId="124" priority="35" operator="greaterThan">
      <formula>10</formula>
    </cfRule>
  </conditionalFormatting>
  <conditionalFormatting sqref="C68">
    <cfRule type="cellIs" dxfId="123" priority="34" operator="greaterThan">
      <formula>10</formula>
    </cfRule>
  </conditionalFormatting>
  <conditionalFormatting sqref="D46">
    <cfRule type="expression" dxfId="122" priority="33">
      <formula>$D$46&lt;5</formula>
    </cfRule>
  </conditionalFormatting>
  <conditionalFormatting sqref="D48 D54 D56:D58 D60:D61">
    <cfRule type="expression" dxfId="121" priority="32">
      <formula>$D$48&lt;5</formula>
    </cfRule>
  </conditionalFormatting>
  <conditionalFormatting sqref="D47">
    <cfRule type="expression" dxfId="120" priority="31">
      <formula>$D$46&lt;5</formula>
    </cfRule>
  </conditionalFormatting>
  <conditionalFormatting sqref="D62">
    <cfRule type="expression" dxfId="119" priority="30">
      <formula>$D$46&lt;5</formula>
    </cfRule>
  </conditionalFormatting>
  <conditionalFormatting sqref="B36">
    <cfRule type="expression" dxfId="118" priority="28">
      <formula>OR($E$20=0,$E$20=FALSE)</formula>
    </cfRule>
  </conditionalFormatting>
  <conditionalFormatting sqref="B36">
    <cfRule type="expression" dxfId="117" priority="26">
      <formula>$H$33=FALSE</formula>
    </cfRule>
  </conditionalFormatting>
  <conditionalFormatting sqref="H6:H11">
    <cfRule type="cellIs" dxfId="116" priority="25" operator="notEqual">
      <formula>"OK"</formula>
    </cfRule>
  </conditionalFormatting>
  <conditionalFormatting sqref="E14:E15">
    <cfRule type="cellIs" dxfId="115" priority="24" operator="notEqual">
      <formula>"OK"</formula>
    </cfRule>
  </conditionalFormatting>
  <conditionalFormatting sqref="B35:B36 B38 D35:F38">
    <cfRule type="expression" dxfId="114" priority="62">
      <formula>OR($E$22=0,$E$22=FALSE)</formula>
    </cfRule>
  </conditionalFormatting>
  <conditionalFormatting sqref="E26:E31">
    <cfRule type="cellIs" dxfId="113" priority="14" operator="notEqual">
      <formula>"OK"</formula>
    </cfRule>
  </conditionalFormatting>
  <conditionalFormatting sqref="E19:E23">
    <cfRule type="cellIs" dxfId="112" priority="13" operator="notEqual">
      <formula>"OK"</formula>
    </cfRule>
  </conditionalFormatting>
  <conditionalFormatting sqref="E38:G38 B37 B39 D39 D37">
    <cfRule type="expression" dxfId="111" priority="92">
      <formula>$H$35=FALSE</formula>
    </cfRule>
  </conditionalFormatting>
  <conditionalFormatting sqref="C71:D71 C73:D84">
    <cfRule type="expression" dxfId="110" priority="12">
      <formula>AND(Kontrola,Způsobilost,$J$15="de minimis")</formula>
    </cfRule>
  </conditionalFormatting>
  <conditionalFormatting sqref="C59:D59">
    <cfRule type="expression" dxfId="109" priority="10">
      <formula>OR(Výjimka,$C$59&gt;=0.1)</formula>
    </cfRule>
  </conditionalFormatting>
  <conditionalFormatting sqref="C35:C39">
    <cfRule type="expression" dxfId="108" priority="7">
      <formula>NOT(L35)</formula>
    </cfRule>
  </conditionalFormatting>
  <conditionalFormatting sqref="D50">
    <cfRule type="expression" dxfId="107" priority="3">
      <formula>$D$46&lt;5</formula>
    </cfRule>
  </conditionalFormatting>
  <conditionalFormatting sqref="D52">
    <cfRule type="expression" dxfId="106" priority="2">
      <formula>$D$48&lt;5</formula>
    </cfRule>
  </conditionalFormatting>
  <conditionalFormatting sqref="D51">
    <cfRule type="expression" dxfId="105" priority="1">
      <formula>$D$46&lt;5</formula>
    </cfRule>
  </conditionalFormatting>
  <dataValidations count="6">
    <dataValidation type="list" allowBlank="1" showErrorMessage="1" sqref="D14" xr:uid="{70EC1E0A-9B80-41DC-815B-6175D86E1153}">
      <formula1>"ano,ne"</formula1>
    </dataValidation>
    <dataValidation allowBlank="1" showInputMessage="1" showErrorMessage="1" prompt="Stručný popis projektu do 1000 znaků" sqref="D12:G12" xr:uid="{3A88B7A3-72CA-4720-B1A5-76D6F4FDE513}"/>
    <dataValidation allowBlank="1" showErrorMessage="1" sqref="C14:C15" xr:uid="{AEFEF02D-C78E-40E6-934E-876C6754C5B1}"/>
    <dataValidation type="textLength" allowBlank="1" showInputMessage="1" showErrorMessage="1" prompt="Stručný popis projektu do 1000 znaků" sqref="C11:G11" xr:uid="{AF8E9658-A8C2-4C23-97FE-D2BACC41BE9D}">
      <formula1>0</formula1>
      <formula2>1000</formula2>
    </dataValidation>
    <dataValidation type="list" allowBlank="1" showInputMessage="1" showErrorMessage="1" sqref="D15" xr:uid="{B15F5FA9-978C-4C6D-9328-1A7CF6825567}">
      <formula1>INDIRECT("TPodpora[Podpora]")</formula1>
    </dataValidation>
    <dataValidation type="custom" allowBlank="1" showInputMessage="1" showErrorMessage="1" sqref="B38 B35" xr:uid="{EFEEE09F-5CB3-4822-B45F-DB10205E3A39}">
      <formula1>"&lt;0&gt;0"</formula1>
    </dataValidation>
  </dataValidations>
  <pageMargins left="0.7" right="0.7" top="0.78740157499999996" bottom="0.78740157499999996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720" r:id="rId3" name="CBZdroj">
              <controlPr defaultSize="0" autoFill="0" autoLine="0" autoPict="0" macro="[0]!List8.CBClick">
                <anchor moveWithCells="1">
                  <from>
                    <xdr:col>1</xdr:col>
                    <xdr:colOff>19050</xdr:colOff>
                    <xdr:row>21</xdr:row>
                    <xdr:rowOff>28575</xdr:rowOff>
                  </from>
                  <to>
                    <xdr:col>1</xdr:col>
                    <xdr:colOff>1285875</xdr:colOff>
                    <xdr:row>21</xdr:row>
                    <xdr:rowOff>409575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21" r:id="rId4" name="CBRekuperace">
              <controlPr defaultSize="0" autoFill="0" autoLine="0" autoPict="0" macro="[0]!List8.CBClick">
                <anchor moveWithCells="1">
                  <from>
                    <xdr:col>1</xdr:col>
                    <xdr:colOff>19050</xdr:colOff>
                    <xdr:row>19</xdr:row>
                    <xdr:rowOff>47625</xdr:rowOff>
                  </from>
                  <to>
                    <xdr:col>1</xdr:col>
                    <xdr:colOff>1285875</xdr:colOff>
                    <xdr:row>19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22" r:id="rId5" name="CBOsvětlení">
              <controlPr defaultSize="0" autoFill="0" autoLine="0" autoPict="0" macro="[0]!List8.CBClick">
                <anchor moveWithCells="1">
                  <from>
                    <xdr:col>1</xdr:col>
                    <xdr:colOff>19050</xdr:colOff>
                    <xdr:row>20</xdr:row>
                    <xdr:rowOff>28575</xdr:rowOff>
                  </from>
                  <to>
                    <xdr:col>1</xdr:col>
                    <xdr:colOff>1285875</xdr:colOff>
                    <xdr:row>20</xdr:row>
                    <xdr:rowOff>419100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23" r:id="rId6" name="BtnResetAll">
              <controlPr defaultSize="0" print="0" autoFill="0" autoPict="0" macro="[0]!List8.ResetMain">
                <anchor moveWithCells="1">
                  <from>
                    <xdr:col>4</xdr:col>
                    <xdr:colOff>1781175</xdr:colOff>
                    <xdr:row>101</xdr:row>
                    <xdr:rowOff>161925</xdr:rowOff>
                  </from>
                  <to>
                    <xdr:col>7</xdr:col>
                    <xdr:colOff>0</xdr:colOff>
                    <xdr:row>105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24" r:id="rId7" name="BtnGenerForm">
              <controlPr defaultSize="0" print="0" autoFill="0" autoPict="0" macro="[0]!List8.BtnGenerForm_Kliknutí">
                <anchor moveWithCells="1">
                  <from>
                    <xdr:col>1</xdr:col>
                    <xdr:colOff>0</xdr:colOff>
                    <xdr:row>101</xdr:row>
                    <xdr:rowOff>161925</xdr:rowOff>
                  </from>
                  <to>
                    <xdr:col>2</xdr:col>
                    <xdr:colOff>0</xdr:colOff>
                    <xdr:row>105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25" r:id="rId8" name="BtnShowHelp">
              <controlPr defaultSize="0" print="0" autoFill="0" autoPict="0" macro="[0]!List8.ShowHelp" altText="Přejít na manuál">
                <anchor moveWithCells="1">
                  <from>
                    <xdr:col>5</xdr:col>
                    <xdr:colOff>104775</xdr:colOff>
                    <xdr:row>17</xdr:row>
                    <xdr:rowOff>381000</xdr:rowOff>
                  </from>
                  <to>
                    <xdr:col>6</xdr:col>
                    <xdr:colOff>1333500</xdr:colOff>
                    <xdr:row>18</xdr:row>
                    <xdr:rowOff>285750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26" r:id="rId9" name="BtnHideHelp">
              <controlPr defaultSize="0" print="0" autoFill="0" autoPict="0" macro="[0]!List8.HideHelp" altText="Přejít na manuál">
                <anchor moveWithCells="1">
                  <from>
                    <xdr:col>5</xdr:col>
                    <xdr:colOff>104775</xdr:colOff>
                    <xdr:row>19</xdr:row>
                    <xdr:rowOff>323850</xdr:rowOff>
                  </from>
                  <to>
                    <xdr:col>6</xdr:col>
                    <xdr:colOff>1333500</xdr:colOff>
                    <xdr:row>20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27" r:id="rId10" name="BtnExport">
              <controlPr defaultSize="0" print="0" autoFill="0" autoPict="0">
                <anchor moveWithCells="1">
                  <from>
                    <xdr:col>3</xdr:col>
                    <xdr:colOff>2581275</xdr:colOff>
                    <xdr:row>101</xdr:row>
                    <xdr:rowOff>161925</xdr:rowOff>
                  </from>
                  <to>
                    <xdr:col>4</xdr:col>
                    <xdr:colOff>1447800</xdr:colOff>
                    <xdr:row>105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28" r:id="rId11" name="CBAdmin">
              <controlPr defaultSize="0" autoFill="0" autoLine="0" autoPict="0" macro="[0]!UnLockAll">
                <anchor moveWithCells="1">
                  <from>
                    <xdr:col>1</xdr:col>
                    <xdr:colOff>9525</xdr:colOff>
                    <xdr:row>107</xdr:row>
                    <xdr:rowOff>171450</xdr:rowOff>
                  </from>
                  <to>
                    <xdr:col>1</xdr:col>
                    <xdr:colOff>914400</xdr:colOff>
                    <xdr:row>109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32" r:id="rId12" name="CBFVE">
              <controlPr defaultSize="0" autoFill="0" autoLine="0" autoPict="0" macro="[0]!List8.CBClick">
                <anchor moveWithCells="1">
                  <from>
                    <xdr:col>1</xdr:col>
                    <xdr:colOff>28575</xdr:colOff>
                    <xdr:row>22</xdr:row>
                    <xdr:rowOff>38100</xdr:rowOff>
                  </from>
                  <to>
                    <xdr:col>1</xdr:col>
                    <xdr:colOff>1295400</xdr:colOff>
                    <xdr:row>22</xdr:row>
                    <xdr:rowOff>428625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34" r:id="rId13" name="BtnBackup">
              <controlPr defaultSize="0" print="0" autoFill="0" autoPict="0" macro="[0]!List8.BackupMain" altText="Export dat do souboru bez maker">
                <anchor moveWithCells="1" sizeWithCells="1">
                  <from>
                    <xdr:col>2</xdr:col>
                    <xdr:colOff>400050</xdr:colOff>
                    <xdr:row>101</xdr:row>
                    <xdr:rowOff>161925</xdr:rowOff>
                  </from>
                  <to>
                    <xdr:col>2</xdr:col>
                    <xdr:colOff>2914650</xdr:colOff>
                    <xdr:row>105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35" r:id="rId14" name="BtnRestore">
              <controlPr defaultSize="0" print="0" autoFill="0" autoPict="0" macro="[0]!List8.RestoreMain">
                <anchor moveWithCells="1" sizeWithCells="1">
                  <from>
                    <xdr:col>2</xdr:col>
                    <xdr:colOff>3324225</xdr:colOff>
                    <xdr:row>101</xdr:row>
                    <xdr:rowOff>161925</xdr:rowOff>
                  </from>
                  <to>
                    <xdr:col>3</xdr:col>
                    <xdr:colOff>2162175</xdr:colOff>
                    <xdr:row>105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43" r:id="rId15" name="CBZateplení">
              <controlPr defaultSize="0" autoFill="0" autoLine="0" autoPict="0" macro="[0]!List8.CBClick">
                <anchor moveWithCells="1">
                  <from>
                    <xdr:col>1</xdr:col>
                    <xdr:colOff>19050</xdr:colOff>
                    <xdr:row>18</xdr:row>
                    <xdr:rowOff>9525</xdr:rowOff>
                  </from>
                  <to>
                    <xdr:col>1</xdr:col>
                    <xdr:colOff>1285875</xdr:colOff>
                    <xdr:row>18</xdr:row>
                    <xdr:rowOff>390525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44" r:id="rId16" name="BtnGoRekuperace">
              <controlPr defaultSize="0" print="0" autoFill="0" autoPict="0" macro="[0]!List8.SelectSheet">
                <anchor moveWithCells="1" sizeWithCells="1">
                  <from>
                    <xdr:col>1</xdr:col>
                    <xdr:colOff>0</xdr:colOff>
                    <xdr:row>35</xdr:row>
                    <xdr:rowOff>28575</xdr:rowOff>
                  </from>
                  <to>
                    <xdr:col>2</xdr:col>
                    <xdr:colOff>0</xdr:colOff>
                    <xdr:row>35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45" r:id="rId17" name="BtnGoZdroj">
              <controlPr defaultSize="0" print="0" autoFill="0" autoPict="0" macro="[0]!List8.SelectSheet">
                <anchor moveWithCells="1" sizeWithCells="1">
                  <from>
                    <xdr:col>1</xdr:col>
                    <xdr:colOff>0</xdr:colOff>
                    <xdr:row>37</xdr:row>
                    <xdr:rowOff>47625</xdr:rowOff>
                  </from>
                  <to>
                    <xdr:col>2</xdr:col>
                    <xdr:colOff>0</xdr:colOff>
                    <xdr:row>37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46" r:id="rId18" name="BtnGoZateplení">
              <controlPr defaultSize="0" print="0" autoFill="0" autoPict="0" macro="[0]!List8.SelectSheet">
                <anchor moveWithCells="1" sizeWithCells="1">
                  <from>
                    <xdr:col>1</xdr:col>
                    <xdr:colOff>0</xdr:colOff>
                    <xdr:row>34</xdr:row>
                    <xdr:rowOff>47625</xdr:rowOff>
                  </from>
                  <to>
                    <xdr:col>2</xdr:col>
                    <xdr:colOff>0</xdr:colOff>
                    <xdr:row>34</xdr:row>
                    <xdr:rowOff>266700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47" r:id="rId19" name="BtnGoOsvětlení">
              <controlPr defaultSize="0" print="0" autoFill="0" autoPict="0" macro="[0]!List8.SelectSheet">
                <anchor moveWithCells="1" sizeWithCells="1">
                  <from>
                    <xdr:col>1</xdr:col>
                    <xdr:colOff>0</xdr:colOff>
                    <xdr:row>36</xdr:row>
                    <xdr:rowOff>38100</xdr:rowOff>
                  </from>
                  <to>
                    <xdr:col>2</xdr:col>
                    <xdr:colOff>0</xdr:colOff>
                    <xdr:row>36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748" r:id="rId20" name="BtnGoFVE">
              <controlPr defaultSize="0" print="0" autoFill="0" autoPict="0" macro="[0]!List8.SelectSheet">
                <anchor moveWithCells="1" sizeWithCells="1">
                  <from>
                    <xdr:col>1</xdr:col>
                    <xdr:colOff>0</xdr:colOff>
                    <xdr:row>38</xdr:row>
                    <xdr:rowOff>38100</xdr:rowOff>
                  </from>
                  <to>
                    <xdr:col>2</xdr:col>
                    <xdr:colOff>0</xdr:colOff>
                    <xdr:row>38</xdr:row>
                    <xdr:rowOff>257175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9" id="{6BA7A6EC-DEB1-40D4-A965-4465F5247278}">
            <xm:f>$C$55&lt;=Globální!$B$9</xm:f>
            <x14:dxf>
              <fill>
                <patternFill>
                  <bgColor rgb="FF92D050"/>
                </patternFill>
              </fill>
            </x14:dxf>
          </x14:cfRule>
          <xm:sqref>C55:D55</xm:sqref>
        </x14:conditionalFormatting>
      </x14:conditionalFormatting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9AA20F-2187-474B-AD48-D0C5A1D64A54}">
  <sheetPr codeName="List20"/>
  <dimension ref="A1:Z35"/>
  <sheetViews>
    <sheetView workbookViewId="0"/>
  </sheetViews>
  <sheetFormatPr defaultColWidth="19.5703125" defaultRowHeight="15"/>
  <cols>
    <col min="1" max="1" width="59.85546875" bestFit="1" customWidth="1"/>
    <col min="2" max="9" width="20.7109375" customWidth="1"/>
  </cols>
  <sheetData>
    <row r="1" spans="1:6" ht="30">
      <c r="A1" s="284" t="s">
        <v>449</v>
      </c>
      <c r="B1" s="386" t="s">
        <v>833</v>
      </c>
      <c r="C1" s="386" t="s">
        <v>834</v>
      </c>
      <c r="E1" s="389" t="s">
        <v>1190</v>
      </c>
      <c r="F1" s="389" t="s">
        <v>1031</v>
      </c>
    </row>
    <row r="2" spans="1:6">
      <c r="A2" t="s">
        <v>1165</v>
      </c>
      <c r="B2" s="168">
        <f>IFERROR(Zdroj!E8*Nositele!E22/3.6*1000,0)</f>
        <v>0</v>
      </c>
      <c r="C2" s="168">
        <f>KS_z_listu_kotel*ParametryZdroje!B16</f>
        <v>0</v>
      </c>
      <c r="E2" t="b">
        <f>AND(je_osvětlení,OR(NOT(JePENB),Osvětlení!I40=ne))</f>
        <v>0</v>
      </c>
      <c r="F2" t="b">
        <f>AND(je_rekuperace,OR(NOT(JePENB),Rekuperace!H6=ne))</f>
        <v>0</v>
      </c>
    </row>
    <row r="3" spans="1:6">
      <c r="A3" t="s">
        <v>450</v>
      </c>
      <c r="B3" s="168">
        <f>IFERROR(Zateplení!J9*Nositele!E25/3.6*1000,0)</f>
        <v>0</v>
      </c>
      <c r="C3" s="168">
        <f>KS_zateplení_zadaná*IF(je_zdroj,ParametryZdroje!B16,ParametryZateplení!B46)</f>
        <v>0</v>
      </c>
    </row>
    <row r="4" spans="1:6">
      <c r="A4" t="s">
        <v>452</v>
      </c>
      <c r="B4" s="168">
        <f>IFERROR((ParametryZateplení!$G$1*Zateplení!F10)/1000*3.6,0)</f>
        <v>0</v>
      </c>
      <c r="C4" s="168">
        <f>B4*IF(je_zdroj,ParametryZdroje!B16,ParametryZateplení!B46)</f>
        <v>0</v>
      </c>
    </row>
    <row r="5" spans="1:6">
      <c r="A5" t="s">
        <v>835</v>
      </c>
      <c r="B5" s="168">
        <f>Zateplení!$J$21</f>
        <v>0</v>
      </c>
      <c r="C5" s="168">
        <f>KS_PENB_před*IF(je_zdroj,ParametryZdroje!B16,ParametryZateplení!B46)</f>
        <v>0</v>
      </c>
    </row>
    <row r="6" spans="1:6">
      <c r="A6" t="s">
        <v>836</v>
      </c>
      <c r="B6" s="168">
        <f>Zateplení!$J$19</f>
        <v>0</v>
      </c>
      <c r="C6" s="168">
        <f>B6*IF(je_zdroj,ParametryZdroje!B16,ParametryZateplení!B46)</f>
        <v>0</v>
      </c>
    </row>
    <row r="7" spans="1:6">
      <c r="A7" t="s">
        <v>837</v>
      </c>
      <c r="B7" s="168">
        <f ca="1">IFERROR(US_konstrukce_před/IF(je_zdroj,ParametryZdroje!B16,ParametryZateplení!B46),0)</f>
        <v>0</v>
      </c>
      <c r="C7" s="168">
        <f ca="1">Parametry!J15</f>
        <v>0</v>
      </c>
    </row>
    <row r="8" spans="1:6">
      <c r="A8" t="s">
        <v>838</v>
      </c>
      <c r="B8" s="168">
        <f ca="1">IFERROR(US_konstrukce_po/IF(je_zdroj,ParametryZdroje!B16,ParametryZateplení!B46),0)</f>
        <v>0</v>
      </c>
      <c r="C8" s="168">
        <f ca="1">Parametry!K15</f>
        <v>0</v>
      </c>
    </row>
    <row r="9" spans="1:6">
      <c r="A9" t="s">
        <v>839</v>
      </c>
      <c r="B9" s="168">
        <f ca="1">IFERROR(C9/IF(je_zdroj,ParametryZdroje!B16,ParametryZateplení!B46),0)</f>
        <v>0</v>
      </c>
      <c r="C9" s="168">
        <f ca="1">Parametry!L15</f>
        <v>0</v>
      </c>
    </row>
    <row r="10" spans="1:6">
      <c r="A10" t="s">
        <v>840</v>
      </c>
      <c r="B10" s="168">
        <f>IF(je_zdroj,Osvětlení!$D$44,0)</f>
        <v>0</v>
      </c>
      <c r="C10" s="168"/>
    </row>
    <row r="11" spans="1:6">
      <c r="A11" t="s">
        <v>841</v>
      </c>
      <c r="B11" s="168">
        <f>IF(je_zdroj,Osvětlení!$D$45,0)</f>
        <v>0</v>
      </c>
      <c r="C11" s="168"/>
    </row>
    <row r="12" spans="1:6">
      <c r="A12" t="s">
        <v>1192</v>
      </c>
      <c r="B12" s="168" t="e">
        <f ca="1">IF(JePENB,Zateplení!$J$21,MAX(Parametry!$B$4,(1+ParametryZateplení!H1+ParametryZateplení!I1)*Parametry!S15/Účinnost_stará))</f>
        <v>#DIV/0!</v>
      </c>
      <c r="C12" s="168" t="e">
        <f ca="1">C14+C13</f>
        <v>#DIV/0!</v>
      </c>
    </row>
    <row r="13" spans="1:6">
      <c r="A13" t="s">
        <v>1193</v>
      </c>
      <c r="B13" s="168" t="e">
        <f ca="1">B12/(1+Globální!B15+ParametryZateplení!H1)*ParametryZateplení!H1</f>
        <v>#DIV/0!</v>
      </c>
      <c r="C13" s="168" t="e">
        <f ca="1">B13*Účinnost_stará</f>
        <v>#DIV/0!</v>
      </c>
    </row>
    <row r="14" spans="1:6">
      <c r="A14" t="s">
        <v>1196</v>
      </c>
      <c r="B14" s="168" t="e">
        <f ca="1">(B12-B13)</f>
        <v>#DIV/0!</v>
      </c>
      <c r="C14" s="168" t="e">
        <f ca="1">B14*Účinnost_stará</f>
        <v>#DIV/0!</v>
      </c>
    </row>
    <row r="15" spans="1:6">
      <c r="B15" s="168"/>
      <c r="C15" s="168"/>
    </row>
    <row r="17" spans="1:26" ht="18">
      <c r="B17" s="720" t="s">
        <v>1010</v>
      </c>
      <c r="C17" s="720"/>
      <c r="D17" s="720"/>
      <c r="E17" s="720" t="s">
        <v>872</v>
      </c>
      <c r="F17" s="720"/>
      <c r="G17" s="720"/>
      <c r="H17" s="720" t="s">
        <v>1011</v>
      </c>
      <c r="I17" s="720"/>
      <c r="J17" s="720"/>
      <c r="K17" s="720" t="s">
        <v>1012</v>
      </c>
      <c r="L17" s="720"/>
      <c r="M17" s="720"/>
      <c r="N17" s="720" t="s">
        <v>1013</v>
      </c>
      <c r="O17" s="720"/>
      <c r="P17" s="720"/>
      <c r="Q17" s="720" t="s">
        <v>1014</v>
      </c>
      <c r="R17" s="720"/>
      <c r="S17" s="720"/>
      <c r="T17" s="720" t="s">
        <v>1015</v>
      </c>
      <c r="U17" s="720"/>
      <c r="V17" s="720"/>
      <c r="W17" s="720" t="s">
        <v>1019</v>
      </c>
      <c r="X17" s="720"/>
      <c r="Y17" s="720"/>
    </row>
    <row r="18" spans="1:26">
      <c r="B18" s="335" t="s">
        <v>964</v>
      </c>
      <c r="C18" s="335" t="s">
        <v>965</v>
      </c>
      <c r="D18" s="335" t="s">
        <v>966</v>
      </c>
      <c r="E18" s="335" t="s">
        <v>964</v>
      </c>
      <c r="F18" s="335" t="s">
        <v>965</v>
      </c>
      <c r="G18" s="335" t="s">
        <v>966</v>
      </c>
      <c r="H18" s="335" t="s">
        <v>964</v>
      </c>
      <c r="I18" s="335" t="s">
        <v>965</v>
      </c>
      <c r="J18" s="335" t="s">
        <v>966</v>
      </c>
      <c r="K18" s="335" t="s">
        <v>1016</v>
      </c>
      <c r="L18" s="335" t="s">
        <v>1017</v>
      </c>
      <c r="M18" s="335" t="s">
        <v>1018</v>
      </c>
      <c r="N18" s="335" t="s">
        <v>1016</v>
      </c>
      <c r="O18" s="335" t="s">
        <v>1017</v>
      </c>
      <c r="P18" s="335" t="s">
        <v>1018</v>
      </c>
      <c r="Q18" s="335" t="s">
        <v>1016</v>
      </c>
      <c r="R18" s="335" t="s">
        <v>1017</v>
      </c>
      <c r="S18" s="335" t="s">
        <v>1018</v>
      </c>
      <c r="T18" s="335" t="s">
        <v>1016</v>
      </c>
      <c r="U18" s="335" t="s">
        <v>1017</v>
      </c>
      <c r="V18" s="335" t="s">
        <v>1018</v>
      </c>
      <c r="W18" s="335" t="s">
        <v>1020</v>
      </c>
      <c r="X18" s="335" t="s">
        <v>1021</v>
      </c>
      <c r="Y18" s="335" t="s">
        <v>1022</v>
      </c>
    </row>
    <row r="19" spans="1:26">
      <c r="A19" t="s">
        <v>1194</v>
      </c>
      <c r="B19" s="564" t="e">
        <f ca="1">$C$13</f>
        <v>#DIV/0!</v>
      </c>
      <c r="C19" s="564" t="e">
        <f ca="1">$C$13</f>
        <v>#DIV/0!</v>
      </c>
      <c r="D19" s="319">
        <v>0</v>
      </c>
      <c r="E19" s="564" t="e">
        <f ca="1">$B$13</f>
        <v>#DIV/0!</v>
      </c>
      <c r="F19" s="564" t="e">
        <f ca="1">$B$13</f>
        <v>#DIV/0!</v>
      </c>
      <c r="G19" s="319">
        <v>0</v>
      </c>
      <c r="H19" s="168" t="e">
        <f ca="1">E19*Primární!$B$7</f>
        <v>#DIV/0!</v>
      </c>
      <c r="I19" s="168" t="e">
        <f ca="1">F19*Primární!$B$7</f>
        <v>#DIV/0!</v>
      </c>
      <c r="J19" s="335">
        <v>0</v>
      </c>
      <c r="K19" s="168" t="e">
        <f ca="1">E19*3.6/1000*Nositele!$G$7</f>
        <v>#DIV/0!</v>
      </c>
      <c r="L19" s="168" t="e">
        <f ca="1">F19*3.6/1000*Nositele!$G$7</f>
        <v>#DIV/0!</v>
      </c>
      <c r="M19" s="319">
        <v>0</v>
      </c>
      <c r="N19" s="486" t="e">
        <f ca="1">E19*Nositele!$M$7</f>
        <v>#DIV/0!</v>
      </c>
      <c r="O19" s="486" t="e">
        <f ca="1">F19*Nositele!$M$7</f>
        <v>#DIV/0!</v>
      </c>
      <c r="P19" s="319">
        <v>0</v>
      </c>
      <c r="Q19" s="486" t="e">
        <f ca="1">N19*Nositele!$O$7</f>
        <v>#DIV/0!</v>
      </c>
      <c r="R19" s="486" t="e">
        <f ca="1">O19*Nositele!$O$7</f>
        <v>#DIV/0!</v>
      </c>
      <c r="S19" s="319">
        <v>0</v>
      </c>
      <c r="T19" s="486" t="e">
        <f ca="1">N19*Nositele!$P$7</f>
        <v>#DIV/0!</v>
      </c>
      <c r="U19" s="486" t="e">
        <f ca="1">O19*Nositele!$P$7</f>
        <v>#DIV/0!</v>
      </c>
      <c r="V19" s="319">
        <v>0</v>
      </c>
      <c r="W19" s="168" t="e">
        <f ca="1">E19*Nositele!$H$7</f>
        <v>#DIV/0!</v>
      </c>
      <c r="X19" s="168" t="e">
        <f ca="1">F19*Nositele!$H$7</f>
        <v>#DIV/0!</v>
      </c>
      <c r="Y19" s="319">
        <v>0</v>
      </c>
    </row>
    <row r="20" spans="1:26">
      <c r="A20" t="s">
        <v>448</v>
      </c>
      <c r="B20" s="168">
        <f>Osvětlení!$D$44*$Z$20*Účinnost_stará</f>
        <v>0</v>
      </c>
      <c r="C20" s="168">
        <f>Osvětlení!$D$45*$Z$20*Účinnost_stará</f>
        <v>0</v>
      </c>
      <c r="D20" s="168">
        <f t="shared" ref="D20:D24" si="0">B20-C20</f>
        <v>0</v>
      </c>
      <c r="E20" s="168">
        <f>Osvětlení!$D$44*$Z$20</f>
        <v>0</v>
      </c>
      <c r="F20" s="168">
        <f>Osvětlení!$D$45*$Z$20</f>
        <v>0</v>
      </c>
      <c r="G20" s="168">
        <f t="shared" ref="G20:G23" si="1">E20-F20</f>
        <v>0</v>
      </c>
      <c r="H20" s="168">
        <f>E20*Primární!$B$7*$Z$20</f>
        <v>0</v>
      </c>
      <c r="I20" s="168">
        <f>F20*Primární!$B$7*$Z$20</f>
        <v>0</v>
      </c>
      <c r="J20" s="168">
        <f t="shared" ref="J20:M23" si="2">H20-I20</f>
        <v>0</v>
      </c>
      <c r="K20" s="168">
        <f>E20*3.6/1000*Nositele!$G$7*$Z$20</f>
        <v>0</v>
      </c>
      <c r="L20" s="168">
        <f>F20*3.6/1000*Nositele!$G$7*$Z$20</f>
        <v>0</v>
      </c>
      <c r="M20" s="168">
        <f t="shared" si="2"/>
        <v>0</v>
      </c>
      <c r="N20" s="486">
        <f>E20*Nositele!$M$7*$Z$20</f>
        <v>0</v>
      </c>
      <c r="O20" s="486">
        <f>F20*Nositele!$M$7*$Z$20</f>
        <v>0</v>
      </c>
      <c r="P20" s="486">
        <f t="shared" ref="P20:P23" si="3">N20-O20</f>
        <v>0</v>
      </c>
      <c r="Q20" s="486">
        <f>N20*Nositele!$O$7*$Z$20</f>
        <v>0</v>
      </c>
      <c r="R20" s="486">
        <f>O20*Nositele!$O$7*$Z$20</f>
        <v>0</v>
      </c>
      <c r="S20" s="486">
        <f t="shared" ref="S20:S23" si="4">Q20-R20</f>
        <v>0</v>
      </c>
      <c r="T20" s="486">
        <f>N20*Nositele!$P$7*$Z$20</f>
        <v>0</v>
      </c>
      <c r="U20" s="486">
        <f>O20*Nositele!$P$7*$Z$20</f>
        <v>0</v>
      </c>
      <c r="V20" s="486">
        <f t="shared" ref="V20:V23" si="5">T20-U20</f>
        <v>0</v>
      </c>
      <c r="W20" s="168">
        <f>E20*Nositele!$H$7*$Z$20</f>
        <v>0</v>
      </c>
      <c r="X20" s="168">
        <f>F20*Nositele!$H$7*$Z$20*$Z$20</f>
        <v>0</v>
      </c>
      <c r="Y20" s="168">
        <f>W20-X20</f>
        <v>0</v>
      </c>
      <c r="Z20">
        <f>IF(je_osvětlení,1,0)</f>
        <v>0</v>
      </c>
    </row>
    <row r="21" spans="1:26">
      <c r="A21" t="s">
        <v>1195</v>
      </c>
      <c r="B21" s="168" t="e">
        <f ca="1">MAX(B19:B20)</f>
        <v>#DIV/0!</v>
      </c>
      <c r="C21" s="168" t="e">
        <f ca="1">B21-D20</f>
        <v>#DIV/0!</v>
      </c>
      <c r="D21" s="168">
        <f>D20</f>
        <v>0</v>
      </c>
      <c r="E21" s="168" t="e">
        <f ca="1">MAX(E19:E20)</f>
        <v>#DIV/0!</v>
      </c>
      <c r="F21" s="168" t="e">
        <f ca="1">E21-G20</f>
        <v>#DIV/0!</v>
      </c>
      <c r="G21" s="168">
        <f>G20</f>
        <v>0</v>
      </c>
      <c r="H21" s="168" t="e">
        <f ca="1">MAX(H19:H20)</f>
        <v>#DIV/0!</v>
      </c>
      <c r="I21" s="168" t="e">
        <f ca="1">H21-J20</f>
        <v>#DIV/0!</v>
      </c>
      <c r="J21" s="168">
        <f>J20</f>
        <v>0</v>
      </c>
      <c r="K21" s="168" t="e">
        <f ca="1">MAX(K19:K20)</f>
        <v>#DIV/0!</v>
      </c>
      <c r="L21" s="168" t="e">
        <f ca="1">K21-M20</f>
        <v>#DIV/0!</v>
      </c>
      <c r="M21" s="168">
        <f>M20</f>
        <v>0</v>
      </c>
      <c r="N21" s="168" t="e">
        <f ca="1">MAX(N19:N20)</f>
        <v>#DIV/0!</v>
      </c>
      <c r="O21" s="168" t="e">
        <f ca="1">N21-P20</f>
        <v>#DIV/0!</v>
      </c>
      <c r="P21" s="168">
        <f>P20</f>
        <v>0</v>
      </c>
      <c r="Q21" s="168" t="e">
        <f ca="1">MAX(Q19:Q20)</f>
        <v>#DIV/0!</v>
      </c>
      <c r="R21" s="168" t="e">
        <f ca="1">Q21-S20</f>
        <v>#DIV/0!</v>
      </c>
      <c r="S21" s="168">
        <f>S20</f>
        <v>0</v>
      </c>
      <c r="T21" s="168" t="e">
        <f ca="1">MAX(T19:T20)</f>
        <v>#DIV/0!</v>
      </c>
      <c r="U21" s="168" t="e">
        <f ca="1">T21-V20</f>
        <v>#DIV/0!</v>
      </c>
      <c r="V21" s="168">
        <f>V20</f>
        <v>0</v>
      </c>
      <c r="W21" s="168" t="e">
        <f ca="1">MAX(W19:W20)</f>
        <v>#DIV/0!</v>
      </c>
      <c r="X21" s="168" t="e">
        <f ca="1">W21-Y20</f>
        <v>#DIV/0!</v>
      </c>
      <c r="Y21" s="168">
        <f>Y20</f>
        <v>0</v>
      </c>
    </row>
    <row r="22" spans="1:26">
      <c r="A22" t="s">
        <v>899</v>
      </c>
      <c r="B22" s="168">
        <f>Parametry!J14*$Z$22</f>
        <v>0</v>
      </c>
      <c r="C22" s="168">
        <f>Parametry!K14*$Z$22*IF(AND(je_zdroj,JePENB,Zdroj!E24=ano),Účinnost_stará/Účinnost_nová,1)</f>
        <v>0</v>
      </c>
      <c r="D22" s="168">
        <f>Parametry!L14*$Z$22</f>
        <v>0</v>
      </c>
      <c r="E22" s="168">
        <f>IFERROR(B22/IF(je_zdroj,Zdroj_a_zateplení!E13,Jen_zateplení!D13),0)*$Z$22</f>
        <v>0</v>
      </c>
      <c r="F22" s="168">
        <f>IFERROR(C22/IF(je_zdroj,Zdroj_a_zateplení!E38,Jen_zateplení!D28),0)*$Z$22</f>
        <v>0</v>
      </c>
      <c r="G22" s="168">
        <f>E22-F22</f>
        <v>0</v>
      </c>
      <c r="H22" s="168">
        <f>E22*IF(je_zdroj,Zdroj_a_zateplení!F13,Jen_zateplení!E13)*$Z$22</f>
        <v>0</v>
      </c>
      <c r="I22" s="168">
        <f>F22*IF(je_zdroj,Zdroj_a_zateplení!F38,Jen_zateplení!E28)*$Z$22</f>
        <v>0</v>
      </c>
      <c r="J22" s="168">
        <f t="shared" si="2"/>
        <v>0</v>
      </c>
      <c r="K22" s="168">
        <f>H22*kWh_na_GJ*IF(je_zdroj,Zdroj_a_zateplení!J13,Jen_zateplení!I13)*$Z$22</f>
        <v>0</v>
      </c>
      <c r="L22">
        <f>I22*kWh_na_GJ*IF(je_zdroj,Zdroj_a_zateplení!J38,Jen_zateplení!I28)*$Z$22</f>
        <v>0</v>
      </c>
      <c r="M22" s="168">
        <f t="shared" si="2"/>
        <v>0</v>
      </c>
      <c r="N22" s="486">
        <f>IFERROR(E22*kWh_na_GJ/IF(je_zdroj,Zdroj_a_zateplení!D13,Jen_zateplení!C13)*IF(je_zdroj,Zdroj_a_zateplení!G13,Jen_zateplení!F13),0)*$Z$22</f>
        <v>0</v>
      </c>
      <c r="O22" s="486">
        <f>IFERROR(F22*kWh_na_GJ/IF(je_zdroj,Zdroj_a_zateplení!D38,Jen_zateplení!C28)*IF(je_zdroj,Zdroj_a_zateplení!G38,Jen_zateplení!F28),0)*$Z$22</f>
        <v>0</v>
      </c>
      <c r="P22" s="486">
        <f t="shared" si="3"/>
        <v>0</v>
      </c>
      <c r="Q22" s="486">
        <f>N22*IF(je_zdroj,Zdroj_a_zateplení!G13,Jen_zateplení!G13)*$Z$22</f>
        <v>0</v>
      </c>
      <c r="R22" s="486">
        <f>O22*IF(je_zdroj,Zdroj_a_zateplení!H38,Jen_zateplení!G28)*$Z$22</f>
        <v>0</v>
      </c>
      <c r="S22" s="486">
        <f t="shared" si="4"/>
        <v>0</v>
      </c>
      <c r="T22" s="486">
        <f>N22*IF(je_zdroj,Zdroj_a_zateplení!I13,Jen_zateplení!H13)*$Z$22</f>
        <v>0</v>
      </c>
      <c r="U22" s="486">
        <f>O22*IF(je_zdroj,Zdroj_a_zateplení!I38,Jen_zateplení!H28)*$Z$22</f>
        <v>0</v>
      </c>
      <c r="V22" s="486">
        <f t="shared" si="5"/>
        <v>0</v>
      </c>
      <c r="W22" s="168">
        <f>IFERROR(E22*kWh_na_GJ/IF(je_zdroj,Zdroj_a_zateplení!D13,Jen_zateplení!C13)*IF(je_zdroj,Zdroj_a_zateplení!K13,Jen_zateplení!J13),0)*$Z$22</f>
        <v>0</v>
      </c>
      <c r="X22" s="168">
        <f>IFERROR(F22*kWh_na_GJ/IF(je_zdroj,Zdroj_a_zateplení!D38,Jen_zateplení!C28)*IF(je_zdroj,Zdroj_a_zateplení!K38,Jen_zateplení!J28),0)*$Z$22</f>
        <v>0</v>
      </c>
      <c r="Y22" s="168">
        <f>W22-X22</f>
        <v>0</v>
      </c>
      <c r="Z22">
        <f>IF(je_rekuperace,1,0)</f>
        <v>0</v>
      </c>
    </row>
    <row r="23" spans="1:26">
      <c r="A23" t="s">
        <v>795</v>
      </c>
      <c r="B23" s="168">
        <f>US_z_listu_kotel</f>
        <v>0</v>
      </c>
      <c r="C23" s="168">
        <f>US_z_listu_kotel</f>
        <v>0</v>
      </c>
      <c r="D23" s="168">
        <f t="shared" ref="D23" si="6">B23-C23</f>
        <v>0</v>
      </c>
      <c r="E23" s="168">
        <f>Jen_zdroj!M13</f>
        <v>0</v>
      </c>
      <c r="F23" s="168">
        <f>Jen_zdroj!M23</f>
        <v>0</v>
      </c>
      <c r="G23" s="168">
        <f t="shared" si="1"/>
        <v>0</v>
      </c>
      <c r="H23" s="168">
        <f>Jen_zdroj!O13</f>
        <v>0</v>
      </c>
      <c r="I23" s="168">
        <f>Jen_zdroj!O23</f>
        <v>0</v>
      </c>
      <c r="J23" s="168">
        <f t="shared" si="2"/>
        <v>0</v>
      </c>
      <c r="K23" s="168">
        <f>Jen_zdroj!R13</f>
        <v>0</v>
      </c>
      <c r="L23" s="168">
        <f>Jen_zdroj!R23</f>
        <v>0</v>
      </c>
      <c r="M23" s="168">
        <f t="shared" si="2"/>
        <v>0</v>
      </c>
      <c r="N23">
        <f>Jen_zdroj!S13</f>
        <v>0</v>
      </c>
      <c r="O23" s="486">
        <f>Jen_zdroj!S23</f>
        <v>0</v>
      </c>
      <c r="P23" s="486">
        <f t="shared" si="3"/>
        <v>0</v>
      </c>
      <c r="Q23">
        <f>Jen_zdroj!T13</f>
        <v>0</v>
      </c>
      <c r="R23" s="486">
        <f>Jen_zdroj!T23</f>
        <v>0</v>
      </c>
      <c r="S23" s="486">
        <f t="shared" si="4"/>
        <v>0</v>
      </c>
      <c r="T23">
        <f>Jen_zdroj!U13</f>
        <v>0</v>
      </c>
      <c r="U23" s="486">
        <f>Jen_zdroj!U23</f>
        <v>0</v>
      </c>
      <c r="V23" s="486">
        <f t="shared" si="5"/>
        <v>0</v>
      </c>
      <c r="W23" s="168">
        <f>Jen_zdroj!V13</f>
        <v>0</v>
      </c>
      <c r="X23" s="168">
        <f>Jen_zdroj!V23</f>
        <v>0</v>
      </c>
      <c r="Y23" s="168">
        <f>W23-X23</f>
        <v>0</v>
      </c>
    </row>
    <row r="24" spans="1:26">
      <c r="A24" t="s">
        <v>453</v>
      </c>
      <c r="B24" s="168">
        <f ca="1">Parametry!$S$15</f>
        <v>0</v>
      </c>
      <c r="C24" s="168">
        <f ca="1">B24-Parametry!$L$15*IF(AND(je_zdroj,JePENB,Zdroj!E24=ano),Účinnost_stará/Účinnost_nová,1)</f>
        <v>0</v>
      </c>
      <c r="D24" s="168">
        <f t="shared" ca="1" si="0"/>
        <v>0</v>
      </c>
      <c r="E24" s="168">
        <f>Jen_zateplení!L13</f>
        <v>0</v>
      </c>
      <c r="F24" s="168">
        <f>Jen_zateplení!$L$28</f>
        <v>0</v>
      </c>
      <c r="G24" s="168">
        <f>Jen_zateplení!$L$32</f>
        <v>0</v>
      </c>
      <c r="H24" s="168">
        <f>Jen_zateplení!$N$13</f>
        <v>0</v>
      </c>
      <c r="I24" s="168">
        <f>Jen_zateplení!$N$28</f>
        <v>0</v>
      </c>
      <c r="J24" s="168">
        <f>Jen_zateplení!$N$32</f>
        <v>0</v>
      </c>
      <c r="K24" s="168">
        <f>Jen_zateplení!$O$13</f>
        <v>0</v>
      </c>
      <c r="L24" s="168">
        <f>Jen_zateplení!$O$28</f>
        <v>0</v>
      </c>
      <c r="M24" s="168">
        <f>Jen_zateplení!$O$32</f>
        <v>0</v>
      </c>
      <c r="N24" s="168">
        <f>Jen_zateplení!$P$13</f>
        <v>0</v>
      </c>
      <c r="O24" s="168">
        <f>Jen_zateplení!$P$28</f>
        <v>0</v>
      </c>
      <c r="P24" s="168">
        <f>Jen_zateplení!$P$32</f>
        <v>0</v>
      </c>
      <c r="Q24" s="168">
        <f>Jen_zateplení!$Q$13</f>
        <v>0</v>
      </c>
      <c r="R24" s="168">
        <f>Jen_zateplení!$Q$28</f>
        <v>0</v>
      </c>
      <c r="S24" s="168">
        <f>Jen_zateplení!$Q$32</f>
        <v>0</v>
      </c>
      <c r="T24" s="168">
        <f>Jen_zdroj!U23</f>
        <v>0</v>
      </c>
      <c r="U24" s="168">
        <f>Jen_zateplení!$R$28</f>
        <v>0</v>
      </c>
      <c r="V24" s="168">
        <f>Jen_zateplení!$R$32</f>
        <v>0</v>
      </c>
      <c r="W24" s="168">
        <f>Jen_zateplení!$S$13</f>
        <v>0</v>
      </c>
      <c r="X24" s="168">
        <f>Jen_zateplení!$S$28</f>
        <v>0</v>
      </c>
      <c r="Y24" s="168">
        <f>Jen_zateplení!$S$32</f>
        <v>0</v>
      </c>
    </row>
    <row r="25" spans="1:26">
      <c r="A25" t="s">
        <v>1023</v>
      </c>
      <c r="B25" s="168">
        <f ca="1">Parametry!$S$15</f>
        <v>0</v>
      </c>
      <c r="C25" s="168">
        <f ca="1">B25-Parametry!$L$15*IF(AND(je_zdroj,JePENB,Zdroj!E24=ano),Účinnost_stará/Účinnost_nová,1)</f>
        <v>0</v>
      </c>
      <c r="D25" s="168">
        <f ca="1">B25-C25</f>
        <v>0</v>
      </c>
      <c r="E25" s="168">
        <f>Zdroj_a_zateplení!M13</f>
        <v>0</v>
      </c>
      <c r="F25" s="168">
        <f>Zdroj_a_zateplení!$M$42</f>
        <v>0</v>
      </c>
      <c r="G25" s="168">
        <f>Zdroj_a_zateplení!$M$47</f>
        <v>0</v>
      </c>
      <c r="H25" s="168">
        <f>Zdroj_a_zateplení!$O$13</f>
        <v>0</v>
      </c>
      <c r="I25" s="168">
        <f>Zdroj_a_zateplení!$O$42</f>
        <v>0</v>
      </c>
      <c r="J25" s="168">
        <f>Zdroj_a_zateplení!$O$47</f>
        <v>0</v>
      </c>
      <c r="K25" s="168">
        <f>Zdroj_a_zateplení!$R$13</f>
        <v>0</v>
      </c>
      <c r="L25" s="168">
        <f>Zdroj_a_zateplení!$R$42</f>
        <v>0</v>
      </c>
      <c r="M25" s="168">
        <f>Zdroj_a_zateplení!$R$47</f>
        <v>0</v>
      </c>
      <c r="N25" s="168">
        <f>Zdroj_a_zateplení!$S$13</f>
        <v>0</v>
      </c>
      <c r="O25" s="168">
        <f>Zdroj_a_zateplení!$S$42</f>
        <v>0</v>
      </c>
      <c r="P25" s="168">
        <f>Zdroj_a_zateplení!$S$47</f>
        <v>0</v>
      </c>
      <c r="Q25" s="168">
        <f>Zdroj_a_zateplení!$T$13</f>
        <v>0</v>
      </c>
      <c r="R25" s="168">
        <f>Zdroj_a_zateplení!$T$42</f>
        <v>0</v>
      </c>
      <c r="S25" s="168">
        <f>Zdroj_a_zateplení!$T$47</f>
        <v>0</v>
      </c>
      <c r="T25" s="168">
        <f>Zdroj_a_zateplení!$U$13</f>
        <v>0</v>
      </c>
      <c r="U25" s="168">
        <f>Zdroj_a_zateplení!$U$42</f>
        <v>0</v>
      </c>
      <c r="V25" s="168">
        <f>Zdroj_a_zateplení!$U$47</f>
        <v>0</v>
      </c>
      <c r="W25" s="168">
        <f>Zdroj_a_zateplení!$V$13</f>
        <v>0</v>
      </c>
      <c r="X25" s="168">
        <f>Zdroj_a_zateplení!$V$42</f>
        <v>0</v>
      </c>
      <c r="Y25" s="168">
        <f>Zdroj_a_zateplení!$V$47</f>
        <v>0</v>
      </c>
    </row>
    <row r="26" spans="1:26">
      <c r="B26" s="168"/>
      <c r="C26" s="168"/>
      <c r="D26" s="168"/>
      <c r="E26" s="168"/>
      <c r="F26" s="168"/>
      <c r="G26" s="168"/>
      <c r="H26" s="168"/>
      <c r="I26" s="168"/>
      <c r="J26" s="168"/>
      <c r="K26" s="168"/>
      <c r="L26" s="168"/>
      <c r="M26" s="168"/>
      <c r="N26" s="168"/>
      <c r="O26" s="168"/>
      <c r="P26" s="168"/>
      <c r="Q26" s="168"/>
      <c r="R26" s="168"/>
      <c r="S26" s="168"/>
      <c r="T26" s="168"/>
      <c r="U26" s="168"/>
      <c r="V26" s="168"/>
      <c r="W26" s="168"/>
      <c r="X26" s="168"/>
      <c r="Y26" s="168"/>
    </row>
    <row r="27" spans="1:26">
      <c r="A27" t="s">
        <v>1024</v>
      </c>
      <c r="B27" s="168" t="e">
        <f ca="1">$C$14</f>
        <v>#DIV/0!</v>
      </c>
      <c r="C27" s="168">
        <f ca="1">C24</f>
        <v>0</v>
      </c>
      <c r="D27" s="168">
        <f t="shared" ref="D27" ca="1" si="7">D24</f>
        <v>0</v>
      </c>
      <c r="E27" s="168" t="e">
        <f ca="1">B27/Účinnost_stará</f>
        <v>#DIV/0!</v>
      </c>
      <c r="F27" s="168" t="e">
        <f ca="1">C28/Účinnost_nová+C29/Účinnost_stará</f>
        <v>#DIV/0!</v>
      </c>
      <c r="G27" s="168"/>
      <c r="H27" s="168"/>
      <c r="I27" s="168"/>
      <c r="J27" s="168"/>
      <c r="K27" s="168"/>
      <c r="L27" s="168"/>
      <c r="M27" s="168"/>
      <c r="N27" s="168"/>
      <c r="O27" s="168"/>
      <c r="P27" s="168"/>
      <c r="Q27" s="168"/>
      <c r="R27" s="168"/>
      <c r="S27" s="168"/>
      <c r="T27" s="168"/>
      <c r="U27" s="168"/>
      <c r="V27" s="168"/>
      <c r="W27" s="168"/>
      <c r="X27" s="168"/>
      <c r="Y27" s="168"/>
    </row>
    <row r="28" spans="1:26">
      <c r="A28" t="s">
        <v>1025</v>
      </c>
      <c r="B28" s="168" t="e">
        <f ca="1">IF(US_z_listu_kotel&gt;B27,B27,US_z_listu_kotel)</f>
        <v>#DIV/0!</v>
      </c>
      <c r="C28" s="168" t="e">
        <f ca="1">B28*C$27/B$27</f>
        <v>#DIV/0!</v>
      </c>
      <c r="D28" s="168"/>
      <c r="E28" s="168" t="e">
        <f ca="1">IF(KS_z_listu_kotel&gt;B27,B27,KS_z_listu_kotel)</f>
        <v>#DIV/0!</v>
      </c>
      <c r="F28" s="168" t="e">
        <f ca="1">C28/Účinnost_nová</f>
        <v>#DIV/0!</v>
      </c>
      <c r="G28" s="168"/>
      <c r="H28" s="168"/>
      <c r="I28" s="168"/>
      <c r="J28" s="168"/>
      <c r="K28" s="168"/>
      <c r="L28" s="168"/>
      <c r="M28" s="168"/>
      <c r="N28" s="168"/>
      <c r="O28" s="168"/>
      <c r="P28" s="168"/>
      <c r="Q28" s="168"/>
      <c r="R28" s="168"/>
      <c r="S28" s="168"/>
      <c r="T28" s="168"/>
      <c r="U28" s="168"/>
      <c r="V28" s="168"/>
      <c r="W28" s="168"/>
      <c r="X28" s="168"/>
      <c r="Y28" s="168"/>
    </row>
    <row r="29" spans="1:26">
      <c r="A29" t="s">
        <v>1026</v>
      </c>
      <c r="B29" s="168" t="e">
        <f ca="1">IF(B27&gt;B28,B27-B28,0)</f>
        <v>#DIV/0!</v>
      </c>
      <c r="C29" s="168" t="e">
        <f ca="1">B29*C$27/B$27</f>
        <v>#DIV/0!</v>
      </c>
      <c r="D29" s="168"/>
      <c r="E29" s="168" t="e">
        <f ca="1">IF(E27&gt;E28,E27-E28,0)</f>
        <v>#DIV/0!</v>
      </c>
      <c r="F29" s="168" t="e">
        <f ca="1">C29/Účinnost_stará</f>
        <v>#DIV/0!</v>
      </c>
      <c r="G29" s="168"/>
      <c r="H29" s="168"/>
      <c r="I29" s="168"/>
    </row>
    <row r="30" spans="1:26">
      <c r="B30" s="168"/>
      <c r="C30" s="168"/>
      <c r="D30" s="168"/>
      <c r="E30" s="168"/>
      <c r="F30" s="168"/>
      <c r="G30" s="168"/>
      <c r="H30" s="168"/>
      <c r="I30" s="168"/>
    </row>
    <row r="31" spans="1:26">
      <c r="A31" t="s">
        <v>0</v>
      </c>
      <c r="B31">
        <v>0</v>
      </c>
      <c r="C31">
        <f>-FVE!$I$5</f>
        <v>0</v>
      </c>
      <c r="D31" s="168">
        <f>B31-C31</f>
        <v>0</v>
      </c>
      <c r="E31">
        <v>0</v>
      </c>
      <c r="F31">
        <f>-FVE!$I$5</f>
        <v>0</v>
      </c>
      <c r="G31" s="168">
        <f>E31-F31</f>
        <v>0</v>
      </c>
      <c r="H31">
        <v>0</v>
      </c>
      <c r="I31">
        <f>-FVE!$I$5</f>
        <v>0</v>
      </c>
      <c r="J31" s="168">
        <f>H31-I31</f>
        <v>0</v>
      </c>
      <c r="K31">
        <v>0</v>
      </c>
      <c r="L31" s="168">
        <f>C31*Nositele!G7*3.6/1000</f>
        <v>0</v>
      </c>
      <c r="M31" s="168">
        <f>K31-L31</f>
        <v>0</v>
      </c>
      <c r="N31">
        <v>0</v>
      </c>
      <c r="O31" s="486">
        <f>C31*Nositele!M7</f>
        <v>0</v>
      </c>
      <c r="P31" s="486">
        <f>N31-O31</f>
        <v>0</v>
      </c>
      <c r="Q31" s="486">
        <v>0</v>
      </c>
      <c r="R31" s="486">
        <f>O31*Nositele!O7</f>
        <v>0</v>
      </c>
      <c r="S31" s="486">
        <f>Q31-R31</f>
        <v>0</v>
      </c>
      <c r="T31" s="486">
        <v>0</v>
      </c>
      <c r="U31" s="486">
        <f>O31*Nositele!P7</f>
        <v>0</v>
      </c>
      <c r="V31" s="486">
        <f>T31-U31</f>
        <v>0</v>
      </c>
      <c r="W31">
        <v>0</v>
      </c>
      <c r="X31" s="168">
        <f>C31*Nositele!H7</f>
        <v>0</v>
      </c>
      <c r="Y31" s="168">
        <f>W31-X31</f>
        <v>0</v>
      </c>
    </row>
    <row r="33" spans="1:25">
      <c r="A33" t="s">
        <v>1029</v>
      </c>
      <c r="B33" s="168" t="e">
        <f ca="1">$C$12</f>
        <v>#DIV/0!</v>
      </c>
      <c r="C33" s="168" t="e">
        <f ca="1">C24+$C$13+$B$22-IF($E$2,D$20,0)-IF($F$2,D$22,0)</f>
        <v>#DIV/0!</v>
      </c>
      <c r="D33" s="168" t="e">
        <f ca="1">B33-C33</f>
        <v>#DIV/0!</v>
      </c>
      <c r="E33" s="168" t="e">
        <f ca="1">IF(JePENB,KS_PENB_před,$B$12)</f>
        <v>#DIV/0!</v>
      </c>
      <c r="F33" s="168" t="e">
        <f ca="1">IF(JePENB,B6,F24+B13+B22)-IF($E$2,G$20,0)-IF($F$2,G$22,0)</f>
        <v>#DIV/0!</v>
      </c>
      <c r="G33" s="168" t="e">
        <f ca="1">E33-F33</f>
        <v>#DIV/0!</v>
      </c>
      <c r="H33" s="168" t="e">
        <f ca="1">H$19+$B$14*IF(je_zdroj,Zdroj_a_zateplení!$F$13,Jen_zateplení!$E$13)</f>
        <v>#DIV/0!</v>
      </c>
      <c r="I33" s="168" t="e">
        <f ca="1">I24+H$19+H$22-IF($E$2,J$21,0)-IF($F$2,J$22,0)</f>
        <v>#DIV/0!</v>
      </c>
      <c r="J33" s="168" t="e">
        <f ca="1">H33-I33</f>
        <v>#DIV/0!</v>
      </c>
      <c r="K33" s="168" t="e">
        <f ca="1">K19+K24+$B$14*IF(je_zdroj,Zdroj_a_zateplení!J13,Jen_zateplení!I13)*kWh_na_GJ</f>
        <v>#DIV/0!</v>
      </c>
      <c r="L33" s="168" t="e">
        <f ca="1">L24+K$19+K$22-IF($E$2,M$21,0)-IF($F$2,M$22,0)</f>
        <v>#DIV/0!</v>
      </c>
      <c r="M33" s="168" t="e">
        <f ca="1">K33-L33</f>
        <v>#DIV/0!</v>
      </c>
      <c r="N33" s="168">
        <f ca="1">IFERROR(N$19+$B$14*kWh_na_GJ*IF(je_zdroj,Zdroj_a_zateplení!$G$13,Jen_zateplení!$F$13)/IF(je_zdroj,Zdroj_a_zateplení!$D$13,Jen_zateplení!$C$13),0)</f>
        <v>0</v>
      </c>
      <c r="O33" s="168" t="e">
        <f ca="1">O24+N$19+N$22-IF($E$2,P$21,0)-IF($F$2,P$22,0)</f>
        <v>#DIV/0!</v>
      </c>
      <c r="P33" s="168" t="e">
        <f ca="1">N33-O33</f>
        <v>#DIV/0!</v>
      </c>
      <c r="Q33" s="168" t="e">
        <f ca="1">Q$19+N33*IF(je_zdroj,Zdroj_a_zateplení!$H$13,Jen_zateplení!$G$13)</f>
        <v>#DIV/0!</v>
      </c>
      <c r="R33" s="168" t="e">
        <f ca="1">R24+Q$19+Q$22-IF($E$2,S$21,0)-IF($F$2,S$22,0)</f>
        <v>#DIV/0!</v>
      </c>
      <c r="S33" s="168" t="e">
        <f ca="1">Q33-R33</f>
        <v>#DIV/0!</v>
      </c>
      <c r="T33" s="168" t="e">
        <f ca="1">T$19+N33*IF(je_zdroj,Zdroj_a_zateplení!$I$13,Jen_zateplení!$H$13)</f>
        <v>#DIV/0!</v>
      </c>
      <c r="U33" s="168" t="e">
        <f ca="1">U24+T$19+T$22-IF($E$2,V$21,0)-IF($F$2,V$22,0)</f>
        <v>#DIV/0!</v>
      </c>
      <c r="V33" s="168" t="e">
        <f ca="1">T33-U33</f>
        <v>#DIV/0!</v>
      </c>
      <c r="W33" s="168" t="e">
        <f ca="1">W$19+IFERROR($B$14*kWh_na_GJ/IF(je_zdroj,Zdroj_a_zateplení!$D$13,Jen_zateplení!$C$13)*IF(je_zdroj,Zdroj_a_zateplení!$K$13,Jen_zateplení!$J$13),0)</f>
        <v>#DIV/0!</v>
      </c>
      <c r="X33" s="168" t="e">
        <f ca="1">X24+W$19+W$22-IF($E$2,Y$21,0)-IF($F$2,Y$22,0)</f>
        <v>#DIV/0!</v>
      </c>
      <c r="Y33" s="168" t="e">
        <f ca="1">W33-X33</f>
        <v>#DIV/0!</v>
      </c>
    </row>
    <row r="34" spans="1:25">
      <c r="A34" t="s">
        <v>1030</v>
      </c>
      <c r="B34" s="168" t="e">
        <f ca="1">$C$12</f>
        <v>#DIV/0!</v>
      </c>
      <c r="C34" s="168" t="e">
        <f ca="1">$C$13+$B$22-IF($E$2,D$20,0)-IF($F$2,D$22,0)+C25</f>
        <v>#DIV/0!</v>
      </c>
      <c r="D34" s="168" t="e">
        <f t="shared" ref="D34" ca="1" si="8">B34-C34</f>
        <v>#DIV/0!</v>
      </c>
      <c r="E34" s="168" t="e">
        <f ca="1">IF(JePENB,KS_PENB_před,$B$12)</f>
        <v>#DIV/0!</v>
      </c>
      <c r="F34" s="168" t="e">
        <f ca="1">IF(JePENB,B6,F25+B13+B22)-IF($E$2,G$20,0)-IF($F$2,G$22,0)-IF(AND(je_zdroj,JePENB,Výjimka),G25,0)</f>
        <v>#DIV/0!</v>
      </c>
      <c r="G34" s="168" t="e">
        <f ca="1">E34-F34</f>
        <v>#DIV/0!</v>
      </c>
      <c r="H34" s="168" t="e">
        <f ca="1">H$19+$B$14*IF(je_zdroj,Zdroj_a_zateplení!$F$13,Jen_zateplení!$E$13)</f>
        <v>#DIV/0!</v>
      </c>
      <c r="I34" s="168" t="e">
        <f ca="1">IF(je_zdroj,I25,I24)+H$19+H$22-IF($E$2,J$20,0)-IF($F$2,J$22,0)</f>
        <v>#DIV/0!</v>
      </c>
      <c r="J34" s="168" t="e">
        <f t="shared" ref="J34" ca="1" si="9">H34-I34</f>
        <v>#DIV/0!</v>
      </c>
      <c r="K34" s="168" t="e">
        <f ca="1">K19+K25+$B$14*IF(je_zdroj,Zdroj_a_zateplení!J13,Jen_zateplení!I13)*kWh_na_GJ</f>
        <v>#DIV/0!</v>
      </c>
      <c r="L34" s="168" t="e">
        <f ca="1">IF(je_zdroj,L25,L24)+K$19+K$22-IF($E$2,M$20,0)-IF($F$2,M$22,0)</f>
        <v>#DIV/0!</v>
      </c>
      <c r="M34" s="168" t="e">
        <f ca="1">K34-L34</f>
        <v>#DIV/0!</v>
      </c>
      <c r="N34" s="168" t="e">
        <f ca="1">N$19+IFERROR($B$14*kWh_na_GJ/IF(je_zdroj,Zdroj_a_zateplení!$D$13,Jen_zateplení!$C$13)*IF(je_zdroj,Zdroj_a_zateplení!$G$13,Jen_zateplení!$F$13),0)</f>
        <v>#DIV/0!</v>
      </c>
      <c r="O34" s="168" t="e">
        <f ca="1">IF(je_zdroj,O25,O24)+N$19+N$22-IF($E$2,P$20,0)-IF($F$2,P$22,0)</f>
        <v>#DIV/0!</v>
      </c>
      <c r="P34" s="168" t="e">
        <f ca="1">N34-O34</f>
        <v>#DIV/0!</v>
      </c>
      <c r="Q34" s="168" t="e">
        <f ca="1">Q$19+N34*IF(je_zdroj,Zdroj_a_zateplení!$H$13,Jen_zateplení!$G$13)</f>
        <v>#DIV/0!</v>
      </c>
      <c r="R34" s="168" t="e">
        <f ca="1">IF(je_zdroj,R25,R24)+Q$19+Q$22-IF($E$2,S$20,0)-IF($F$2,S$22,0)</f>
        <v>#DIV/0!</v>
      </c>
      <c r="S34" s="168" t="e">
        <f ca="1">Q34-R34</f>
        <v>#DIV/0!</v>
      </c>
      <c r="T34" s="168" t="e">
        <f ca="1">T$19+N34*IF(je_zdroj,Zdroj_a_zateplení!$I$13,Jen_zateplení!$H$13)</f>
        <v>#DIV/0!</v>
      </c>
      <c r="U34" s="168" t="e">
        <f ca="1">IF(je_zdroj,U25,U24)+T$19+T$22-IF($E$2,V$20,0)-IF($F$2,V$22,0)</f>
        <v>#DIV/0!</v>
      </c>
      <c r="V34" s="168" t="e">
        <f ca="1">T34-U34</f>
        <v>#DIV/0!</v>
      </c>
      <c r="W34" s="168" t="e">
        <f ca="1">W$19+IFERROR($B$14*kWh_na_GJ/IF(je_zdroj,Zdroj_a_zateplení!$D$13,Jen_zateplení!$C$13)*IF(je_zdroj,Zdroj_a_zateplení!$K$13,Jen_zateplení!$J$13),0)</f>
        <v>#DIV/0!</v>
      </c>
      <c r="X34" s="168" t="e">
        <f ca="1">IF(je_zdroj,X25,X24)+W$19+W$22-IF($E$2,Y$20,0)-IF($F$2,Y$22,0)</f>
        <v>#DIV/0!</v>
      </c>
      <c r="Y34" s="168" t="e">
        <f ca="1">W34-X34</f>
        <v>#DIV/0!</v>
      </c>
    </row>
    <row r="35" spans="1:25">
      <c r="A35" t="s">
        <v>1033</v>
      </c>
      <c r="B35" s="168" t="e">
        <f t="shared" ref="B35:Y35" ca="1" si="10">B34+IF(je_FVE,B31,0)</f>
        <v>#DIV/0!</v>
      </c>
      <c r="C35" s="168" t="e">
        <f t="shared" ca="1" si="10"/>
        <v>#DIV/0!</v>
      </c>
      <c r="D35" s="168" t="e">
        <f t="shared" ca="1" si="10"/>
        <v>#DIV/0!</v>
      </c>
      <c r="E35" s="168" t="e">
        <f t="shared" ca="1" si="10"/>
        <v>#DIV/0!</v>
      </c>
      <c r="F35" s="168" t="e">
        <f t="shared" ca="1" si="10"/>
        <v>#DIV/0!</v>
      </c>
      <c r="G35" s="168" t="e">
        <f t="shared" ca="1" si="10"/>
        <v>#DIV/0!</v>
      </c>
      <c r="H35" s="168" t="e">
        <f t="shared" ca="1" si="10"/>
        <v>#DIV/0!</v>
      </c>
      <c r="I35" s="168" t="e">
        <f t="shared" ca="1" si="10"/>
        <v>#DIV/0!</v>
      </c>
      <c r="J35" s="168" t="e">
        <f t="shared" ca="1" si="10"/>
        <v>#DIV/0!</v>
      </c>
      <c r="K35" s="168" t="e">
        <f t="shared" ca="1" si="10"/>
        <v>#DIV/0!</v>
      </c>
      <c r="L35" s="168" t="e">
        <f t="shared" ca="1" si="10"/>
        <v>#DIV/0!</v>
      </c>
      <c r="M35" s="168" t="e">
        <f t="shared" ca="1" si="10"/>
        <v>#DIV/0!</v>
      </c>
      <c r="N35" s="168" t="e">
        <f t="shared" ca="1" si="10"/>
        <v>#DIV/0!</v>
      </c>
      <c r="O35" s="168" t="e">
        <f t="shared" ca="1" si="10"/>
        <v>#DIV/0!</v>
      </c>
      <c r="P35" s="168" t="e">
        <f t="shared" ca="1" si="10"/>
        <v>#DIV/0!</v>
      </c>
      <c r="Q35" s="168" t="e">
        <f t="shared" ca="1" si="10"/>
        <v>#DIV/0!</v>
      </c>
      <c r="R35" s="168" t="e">
        <f t="shared" ca="1" si="10"/>
        <v>#DIV/0!</v>
      </c>
      <c r="S35" s="168" t="e">
        <f t="shared" ca="1" si="10"/>
        <v>#DIV/0!</v>
      </c>
      <c r="T35" s="168" t="e">
        <f t="shared" ca="1" si="10"/>
        <v>#DIV/0!</v>
      </c>
      <c r="U35" s="168" t="e">
        <f t="shared" ca="1" si="10"/>
        <v>#DIV/0!</v>
      </c>
      <c r="V35" s="168" t="e">
        <f t="shared" ca="1" si="10"/>
        <v>#DIV/0!</v>
      </c>
      <c r="W35" s="168" t="e">
        <f t="shared" ca="1" si="10"/>
        <v>#DIV/0!</v>
      </c>
      <c r="X35" s="168" t="e">
        <f t="shared" ca="1" si="10"/>
        <v>#DIV/0!</v>
      </c>
      <c r="Y35" s="168" t="e">
        <f t="shared" ca="1" si="10"/>
        <v>#DIV/0!</v>
      </c>
    </row>
  </sheetData>
  <sheetProtection algorithmName="SHA-512" hashValue="iarbFeP9SrNLTY+l/XF/TfUbJn24haPU6ASk1kqkQVo0tS2O4MhkjHgclZbgvpbD4JtV3sVbn4MxaLYS6+EB8w==" saltValue="KYNfv9zKJ1L9d3yXmf/AYg==" spinCount="100000" sheet="1" objects="1" scenarios="1"/>
  <mergeCells count="8">
    <mergeCell ref="Q17:S17"/>
    <mergeCell ref="T17:V17"/>
    <mergeCell ref="W17:Y17"/>
    <mergeCell ref="B17:D17"/>
    <mergeCell ref="E17:G17"/>
    <mergeCell ref="H17:J17"/>
    <mergeCell ref="K17:M17"/>
    <mergeCell ref="N17:P17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3425A-A61F-4D2F-B23C-8D28A6A2E883}">
  <sheetPr codeName="List7"/>
  <dimension ref="A1:E15"/>
  <sheetViews>
    <sheetView workbookViewId="0">
      <selection activeCell="B5" sqref="B5"/>
    </sheetView>
  </sheetViews>
  <sheetFormatPr defaultRowHeight="15"/>
  <cols>
    <col min="1" max="1" width="52" bestFit="1" customWidth="1"/>
    <col min="2" max="2" width="11" bestFit="1" customWidth="1"/>
    <col min="5" max="5" width="15.42578125" bestFit="1" customWidth="1"/>
  </cols>
  <sheetData>
    <row r="1" spans="1:5">
      <c r="A1" t="s">
        <v>250</v>
      </c>
      <c r="B1" t="b">
        <f>ZpůsobVýpočtu=2</f>
        <v>0</v>
      </c>
      <c r="E1">
        <f>IFERROR(MATCH('Hlavní list'!D15,TPodpora[Podpora],0),0)</f>
        <v>0</v>
      </c>
    </row>
    <row r="2" spans="1:5">
      <c r="A2" t="s">
        <v>259</v>
      </c>
      <c r="E2" t="s">
        <v>943</v>
      </c>
    </row>
    <row r="3" spans="1:5">
      <c r="A3" t="s">
        <v>260</v>
      </c>
      <c r="E3" t="s">
        <v>398</v>
      </c>
    </row>
    <row r="4" spans="1:5">
      <c r="A4" t="s">
        <v>929</v>
      </c>
      <c r="B4">
        <v>3.5999999999999999E-3</v>
      </c>
      <c r="E4" t="s">
        <v>944</v>
      </c>
    </row>
    <row r="5" spans="1:5">
      <c r="A5" t="s">
        <v>1008</v>
      </c>
      <c r="B5" s="387">
        <f>IF(je_zdroj,ParametryZdroje!B16,EtaZdrBudova)</f>
        <v>0</v>
      </c>
    </row>
    <row r="6" spans="1:5">
      <c r="A6" t="s">
        <v>1007</v>
      </c>
      <c r="B6" s="387">
        <f>IF(je_zdroj,ParametryZdroje!B36,EtaZdrBudova)</f>
        <v>0</v>
      </c>
    </row>
    <row r="7" spans="1:5">
      <c r="A7" t="s">
        <v>1009</v>
      </c>
      <c r="B7">
        <f>IF(je_zdroj,ParametryZdroje!K6,ParametryZateplení!I18)</f>
        <v>0</v>
      </c>
    </row>
    <row r="8" spans="1:5">
      <c r="A8" t="s">
        <v>1041</v>
      </c>
      <c r="B8" s="491">
        <v>5000000</v>
      </c>
    </row>
    <row r="9" spans="1:5">
      <c r="A9" t="s">
        <v>1060</v>
      </c>
      <c r="B9" s="167">
        <v>0.3</v>
      </c>
    </row>
    <row r="11" spans="1:5">
      <c r="A11" t="s">
        <v>1006</v>
      </c>
      <c r="B11" t="b">
        <f ca="1">AND(OR(NOT(je_zdroj),Zdroj!L26),OR(NOT(je_zateplení),AND(JePENB,Výjimka,Zateplení!M21),AND(Zateplení!M81,NOT(Zateplení!I86))),OR(NOT(je_rekuperace),Rekuperace!K6),OR(NOT(je_osvětlení),Osvětlení!L41),OR(NOT(je_FVE),FVE!L8))</f>
        <v>0</v>
      </c>
    </row>
    <row r="12" spans="1:5">
      <c r="A12" t="s">
        <v>748</v>
      </c>
      <c r="B12" t="b">
        <f ca="1">NOT(OR(Zateplení!N26:N83,Rekuperace!L4:L6,Zdroj!M4:M24,FVE!M4:M9,'Hlavní list'!I72,'Hlavní list'!I73:I83))</f>
        <v>0</v>
      </c>
    </row>
    <row r="13" spans="1:5">
      <c r="A13" t="s">
        <v>1166</v>
      </c>
      <c r="B13" t="b">
        <f>AND(JePENB,Zateplení!J5=ano)</f>
        <v>0</v>
      </c>
    </row>
    <row r="14" spans="1:5">
      <c r="A14" t="s">
        <v>1197</v>
      </c>
      <c r="B14" s="167">
        <v>0.95</v>
      </c>
    </row>
    <row r="15" spans="1:5">
      <c r="A15" t="s">
        <v>1198</v>
      </c>
      <c r="B15" s="167">
        <f>ParametryZateplení!I1</f>
        <v>0</v>
      </c>
    </row>
  </sheetData>
  <sheetProtection algorithmName="SHA-512" hashValue="9nlNWX5i9Cz/YUv7fYf6zu+fR1nN2XIlyn9fxHGsXRNxvV6xb4upgqZe469PSlLPSnV2j3OBK8fVcibDGpsDNQ==" saltValue="ouZMeQFMYGIV4a8plM3qwg==" spinCount="100000" sheet="1" objects="1" scenarios="1"/>
  <pageMargins left="0.7" right="0.7" top="0.78740157499999996" bottom="0.78740157499999996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6B8F85-75F3-4E07-98CC-CB63B5F213F8}">
  <sheetPr codeName="List16"/>
  <dimension ref="A1:S25"/>
  <sheetViews>
    <sheetView workbookViewId="0"/>
  </sheetViews>
  <sheetFormatPr defaultRowHeight="15"/>
  <cols>
    <col min="1" max="1" width="20.85546875" bestFit="1" customWidth="1"/>
    <col min="2" max="2" width="13.85546875" bestFit="1" customWidth="1"/>
    <col min="3" max="3" width="10.85546875" bestFit="1" customWidth="1"/>
    <col min="4" max="4" width="17" bestFit="1" customWidth="1"/>
    <col min="5" max="5" width="13.5703125" bestFit="1" customWidth="1"/>
    <col min="6" max="6" width="12.140625" bestFit="1" customWidth="1"/>
    <col min="7" max="7" width="23.28515625" bestFit="1" customWidth="1"/>
    <col min="8" max="8" width="8.5703125" bestFit="1" customWidth="1"/>
    <col min="9" max="9" width="10" bestFit="1" customWidth="1"/>
    <col min="10" max="10" width="19" bestFit="1" customWidth="1"/>
  </cols>
  <sheetData>
    <row r="1" spans="1:19">
      <c r="A1" s="82" t="s">
        <v>789</v>
      </c>
      <c r="B1" s="82" t="s">
        <v>801</v>
      </c>
      <c r="C1" s="82" t="s">
        <v>17</v>
      </c>
      <c r="D1" s="82" t="s">
        <v>802</v>
      </c>
      <c r="G1" s="82" t="s">
        <v>881</v>
      </c>
    </row>
    <row r="2" spans="1:19">
      <c r="A2" t="s">
        <v>453</v>
      </c>
      <c r="B2" s="403" t="b">
        <v>1</v>
      </c>
      <c r="C2" t="b">
        <f>je_zateplení</f>
        <v>1</v>
      </c>
      <c r="D2" t="s">
        <v>804</v>
      </c>
      <c r="G2" s="403" t="b">
        <v>0</v>
      </c>
    </row>
    <row r="3" spans="1:19">
      <c r="A3" t="s">
        <v>899</v>
      </c>
      <c r="B3" s="403" t="b">
        <v>0</v>
      </c>
      <c r="C3" t="b">
        <f>je_rekuperace</f>
        <v>0</v>
      </c>
      <c r="D3" t="s">
        <v>805</v>
      </c>
    </row>
    <row r="4" spans="1:19">
      <c r="A4" t="s">
        <v>448</v>
      </c>
      <c r="B4" s="403" t="b">
        <v>0</v>
      </c>
      <c r="C4" t="b">
        <f>je_osvětlení</f>
        <v>0</v>
      </c>
      <c r="D4" t="s">
        <v>806</v>
      </c>
    </row>
    <row r="5" spans="1:19">
      <c r="A5" t="s">
        <v>795</v>
      </c>
      <c r="B5" s="403" t="b">
        <v>0</v>
      </c>
      <c r="C5" t="b">
        <f>je_zdroj</f>
        <v>0</v>
      </c>
      <c r="D5" t="s">
        <v>803</v>
      </c>
    </row>
    <row r="6" spans="1:19">
      <c r="A6" t="s">
        <v>0</v>
      </c>
      <c r="B6" s="403" t="b">
        <v>0</v>
      </c>
      <c r="C6" t="b">
        <f>je_FVE</f>
        <v>0</v>
      </c>
      <c r="D6" t="s">
        <v>807</v>
      </c>
    </row>
    <row r="7" spans="1:19">
      <c r="A7" t="s">
        <v>1037</v>
      </c>
      <c r="B7" s="403" t="b">
        <v>0</v>
      </c>
      <c r="C7" t="b">
        <f>je_protokol</f>
        <v>0</v>
      </c>
    </row>
    <row r="8" spans="1:19">
      <c r="A8" t="s">
        <v>1066</v>
      </c>
      <c r="B8" s="403" t="b">
        <v>0</v>
      </c>
      <c r="C8" t="b">
        <f>je_export</f>
        <v>0</v>
      </c>
    </row>
    <row r="9" spans="1:19">
      <c r="A9" t="s">
        <v>792</v>
      </c>
      <c r="C9" t="b">
        <v>0</v>
      </c>
      <c r="S9" s="168"/>
    </row>
    <row r="10" spans="1:19">
      <c r="A10" t="s">
        <v>793</v>
      </c>
      <c r="C10" t="b">
        <v>0</v>
      </c>
      <c r="S10" s="168"/>
    </row>
    <row r="11" spans="1:19">
      <c r="A11" t="s">
        <v>796</v>
      </c>
      <c r="C11" t="b">
        <v>0</v>
      </c>
      <c r="S11" s="168"/>
    </row>
    <row r="12" spans="1:19">
      <c r="A12" t="s">
        <v>843</v>
      </c>
      <c r="C12" t="b">
        <v>0</v>
      </c>
      <c r="S12" s="168"/>
    </row>
    <row r="13" spans="1:19">
      <c r="A13" t="s">
        <v>842</v>
      </c>
      <c r="C13" t="b">
        <v>0</v>
      </c>
      <c r="S13" s="168"/>
    </row>
    <row r="14" spans="1:19">
      <c r="A14" t="s">
        <v>800</v>
      </c>
      <c r="C14" t="b">
        <v>0</v>
      </c>
      <c r="S14" s="168"/>
    </row>
    <row r="15" spans="1:19">
      <c r="A15" t="s">
        <v>963</v>
      </c>
      <c r="C15" t="b">
        <v>0</v>
      </c>
      <c r="S15">
        <f>J15</f>
        <v>0</v>
      </c>
    </row>
    <row r="16" spans="1:19">
      <c r="A16" t="s">
        <v>791</v>
      </c>
      <c r="C16" t="b">
        <v>0</v>
      </c>
    </row>
    <row r="17" spans="1:3">
      <c r="A17" t="s">
        <v>799</v>
      </c>
      <c r="C17" t="b">
        <v>0</v>
      </c>
    </row>
    <row r="18" spans="1:3">
      <c r="A18" t="s">
        <v>798</v>
      </c>
      <c r="C18" t="b">
        <v>0</v>
      </c>
    </row>
    <row r="19" spans="1:3">
      <c r="A19" t="s">
        <v>794</v>
      </c>
      <c r="C19" t="b">
        <v>0</v>
      </c>
    </row>
    <row r="20" spans="1:3">
      <c r="A20" t="s">
        <v>790</v>
      </c>
      <c r="C20" t="b">
        <v>0</v>
      </c>
    </row>
    <row r="21" spans="1:3">
      <c r="A21" t="s">
        <v>797</v>
      </c>
      <c r="C21" t="b">
        <v>0</v>
      </c>
    </row>
    <row r="22" spans="1:3">
      <c r="A22" t="s">
        <v>878</v>
      </c>
      <c r="C22" t="b">
        <v>0</v>
      </c>
    </row>
    <row r="23" spans="1:3">
      <c r="A23" t="s">
        <v>877</v>
      </c>
      <c r="C23" t="b">
        <v>0</v>
      </c>
    </row>
    <row r="24" spans="1:3">
      <c r="A24" t="s">
        <v>1028</v>
      </c>
      <c r="C24" t="b">
        <v>0</v>
      </c>
    </row>
    <row r="25" spans="1:3">
      <c r="A25" t="s">
        <v>844</v>
      </c>
      <c r="C25" t="b">
        <v>0</v>
      </c>
    </row>
  </sheetData>
  <sheetProtection algorithmName="SHA-512" hashValue="ngDcOYXmTv9M67l/dY/WFyDsJklXgnAenHW2sCi2msj6pM7eYUsFMVRYZKT89sdJ6EiyQFQsFbpML+8GjET8Bg==" saltValue="VCVt3y+1HySqx+mq02Z3CQ==" spinCount="100000" sheet="1" objects="1" scenarios="1"/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5BD977-FCCA-430C-ABCA-FB77A5AC0C55}">
  <sheetPr codeName="List11"/>
  <dimension ref="A1:S20"/>
  <sheetViews>
    <sheetView topLeftCell="G1" workbookViewId="0">
      <selection activeCell="J15" sqref="J15"/>
    </sheetView>
  </sheetViews>
  <sheetFormatPr defaultColWidth="9.140625" defaultRowHeight="15"/>
  <cols>
    <col min="1" max="1" width="47.140625" style="257" bestFit="1" customWidth="1"/>
    <col min="2" max="2" width="12" style="257" bestFit="1" customWidth="1"/>
    <col min="3" max="3" width="18.5703125" style="257" bestFit="1" customWidth="1"/>
    <col min="4" max="4" width="38.28515625" style="257" bestFit="1" customWidth="1"/>
    <col min="5" max="5" width="10.28515625" style="257" bestFit="1" customWidth="1"/>
    <col min="6" max="6" width="25.140625" style="257" bestFit="1" customWidth="1"/>
    <col min="7" max="7" width="17.42578125" style="257" bestFit="1" customWidth="1"/>
    <col min="8" max="8" width="11.7109375" style="257" bestFit="1" customWidth="1"/>
    <col min="9" max="9" width="56.42578125" style="257" bestFit="1" customWidth="1"/>
    <col min="10" max="10" width="20" style="257" bestFit="1" customWidth="1"/>
    <col min="11" max="11" width="17.7109375" style="257" bestFit="1" customWidth="1"/>
    <col min="12" max="12" width="14" style="257" bestFit="1" customWidth="1"/>
    <col min="13" max="13" width="11.42578125" style="257" bestFit="1" customWidth="1"/>
    <col min="14" max="14" width="16.28515625" style="257" bestFit="1" customWidth="1"/>
    <col min="15" max="15" width="13.28515625" style="257" bestFit="1" customWidth="1"/>
    <col min="16" max="17" width="11.7109375" style="257" bestFit="1" customWidth="1"/>
    <col min="18" max="18" width="18.5703125" style="257" bestFit="1" customWidth="1"/>
    <col min="19" max="19" width="29.85546875" style="257" bestFit="1" customWidth="1"/>
    <col min="20" max="20" width="15.42578125" style="257" bestFit="1" customWidth="1"/>
    <col min="21" max="21" width="29.85546875" style="257" bestFit="1" customWidth="1"/>
    <col min="22" max="16384" width="9.140625" style="257"/>
  </cols>
  <sheetData>
    <row r="1" spans="1:19">
      <c r="A1" s="263" t="s">
        <v>467</v>
      </c>
      <c r="B1" s="265">
        <f>IF(Zateplení!F8="ano",Zateplení!F9,0)</f>
        <v>0</v>
      </c>
      <c r="C1" s="264" t="s">
        <v>8</v>
      </c>
      <c r="D1" s="264"/>
      <c r="E1" s="264"/>
      <c r="F1" s="264"/>
      <c r="G1" s="264"/>
      <c r="H1" s="264"/>
      <c r="I1" s="264"/>
      <c r="J1" s="264"/>
      <c r="K1" s="264"/>
    </row>
    <row r="2" spans="1:19">
      <c r="A2" s="266"/>
      <c r="B2" s="266"/>
      <c r="C2" s="264"/>
      <c r="D2" s="264"/>
      <c r="E2" s="264"/>
      <c r="F2" s="264"/>
      <c r="G2" s="264"/>
      <c r="H2" s="264"/>
      <c r="I2" s="264"/>
      <c r="J2" s="264"/>
      <c r="K2" s="264"/>
    </row>
    <row r="3" spans="1:19">
      <c r="A3" s="267" t="s">
        <v>468</v>
      </c>
      <c r="B3" s="265">
        <f>IF(AND(ISNUMBER(B1),Zateplení!F8="ano"),(B1)/PodlahováPlocha,ParametryZateplení!G1)</f>
        <v>0</v>
      </c>
      <c r="C3" s="265" t="s">
        <v>469</v>
      </c>
      <c r="D3" s="264"/>
      <c r="E3" s="264"/>
      <c r="F3" s="264"/>
      <c r="G3" s="264"/>
      <c r="H3" s="264"/>
      <c r="I3" s="264"/>
      <c r="J3" s="264"/>
      <c r="K3" s="264"/>
    </row>
    <row r="4" spans="1:19">
      <c r="A4" s="267" t="s">
        <v>470</v>
      </c>
      <c r="B4" s="265">
        <f>IF(B1=0,PodlahováPlocha*B3,B1)</f>
        <v>0</v>
      </c>
      <c r="C4" s="265" t="s">
        <v>8</v>
      </c>
      <c r="D4" s="264"/>
      <c r="E4" s="264"/>
      <c r="F4" s="264"/>
      <c r="G4" s="264"/>
      <c r="H4" s="264"/>
      <c r="I4" s="264"/>
      <c r="J4" s="264"/>
      <c r="K4" s="264"/>
    </row>
    <row r="5" spans="1:19">
      <c r="A5" s="267" t="s">
        <v>470</v>
      </c>
      <c r="B5" s="265">
        <f>B4/1000*3.6</f>
        <v>0</v>
      </c>
      <c r="C5" s="265" t="s">
        <v>447</v>
      </c>
      <c r="D5" s="264" t="s">
        <v>471</v>
      </c>
      <c r="E5" s="264"/>
      <c r="F5" s="264"/>
      <c r="G5" s="264"/>
      <c r="H5" s="264"/>
      <c r="I5" s="264"/>
      <c r="J5" s="264"/>
      <c r="K5" s="264"/>
    </row>
    <row r="6" spans="1:19">
      <c r="A6" s="264"/>
      <c r="B6" s="264"/>
      <c r="C6" s="264"/>
      <c r="D6" s="264"/>
      <c r="E6" s="264"/>
      <c r="F6" s="264"/>
      <c r="G6" s="264"/>
      <c r="H6" s="264"/>
      <c r="I6" s="264"/>
      <c r="J6" s="264"/>
      <c r="K6" s="264"/>
    </row>
    <row r="7" spans="1:19" ht="38.25">
      <c r="A7" s="267" t="s">
        <v>472</v>
      </c>
      <c r="B7" s="267" t="s">
        <v>473</v>
      </c>
      <c r="C7" s="267" t="s">
        <v>724</v>
      </c>
      <c r="D7" s="267" t="s">
        <v>725</v>
      </c>
      <c r="E7" s="267" t="s">
        <v>474</v>
      </c>
      <c r="F7" s="267" t="s">
        <v>934</v>
      </c>
      <c r="G7" s="267" t="s">
        <v>475</v>
      </c>
      <c r="I7" s="267" t="s">
        <v>476</v>
      </c>
      <c r="J7" s="267" t="s">
        <v>477</v>
      </c>
      <c r="K7" s="267" t="s">
        <v>478</v>
      </c>
      <c r="L7" s="267" t="s">
        <v>479</v>
      </c>
      <c r="M7" s="267" t="s">
        <v>451</v>
      </c>
      <c r="N7" s="267" t="s">
        <v>480</v>
      </c>
      <c r="O7" s="267"/>
      <c r="R7" s="257" t="s">
        <v>1223</v>
      </c>
      <c r="S7" s="257" t="s">
        <v>1224</v>
      </c>
    </row>
    <row r="8" spans="1:19">
      <c r="A8" s="267" t="s">
        <v>896</v>
      </c>
      <c r="B8" s="261">
        <f>Budova!K16</f>
        <v>0</v>
      </c>
      <c r="C8" s="257">
        <f ca="1">Zateplení!J46</f>
        <v>0</v>
      </c>
      <c r="D8" s="272">
        <f ca="1">IFERROR(1/(1/B8+TlIzolStěn/1000/LambdaStěny)+DeltaUStěny,0)</f>
        <v>0</v>
      </c>
      <c r="E8" s="257">
        <f>Budova!L16</f>
        <v>0</v>
      </c>
      <c r="F8" s="257">
        <f>Budova!N16</f>
        <v>0</v>
      </c>
      <c r="G8" s="259">
        <f>IF(PamátkováOchrana=ano,"bez požadavku",F8*ParametryZateplení!$C$41)</f>
        <v>0</v>
      </c>
      <c r="H8" s="257" t="str">
        <f t="shared" ref="H8:H13" si="0">IF(PamátkováOchrana=ano,"bez požadavku","Upož,20*e1")</f>
        <v>Upož,20*e1</v>
      </c>
      <c r="I8" s="257" t="str">
        <f t="shared" ref="I8:I13" ca="1" si="1">IF(NOT(ZatepleníStěn),"",IF(PamátkováOchrana="ano","Bez požadavku na součinitel prostupu tepla",IF(C8&lt;=G8,"Konstrukce splňuje požadavky programu","Konstrukce nesplňuje požadavky programu")))</f>
        <v/>
      </c>
      <c r="J8" s="274">
        <f ca="1">(B8)*PlochaStěn*(VnitřníTeplota-VnějšíTeplota)/1000*24*Denostupně/(VnitřníTeplota-VnějšíTeplota)</f>
        <v>0</v>
      </c>
      <c r="K8" s="274">
        <f ca="1">IF(NOT(ZatepleníStěn),J8,(D8)*PlochaStěn*(VnitřníTeplota-VnějšíTeplota)/1000*24*Denostupně/(VnitřníTeplota-VnějšíTeplota))</f>
        <v>0</v>
      </c>
      <c r="L8" s="274">
        <f ca="1">IF(NOT(ZatepleníStěn),0,J8-K8)</f>
        <v>0</v>
      </c>
      <c r="M8" s="273">
        <f ca="1">L8/1000*3.6</f>
        <v>0</v>
      </c>
      <c r="N8" s="270" t="e">
        <f t="shared" ref="N8:N15" ca="1" si="2">L8/PodlahováPlocha</f>
        <v>#DIV/0!</v>
      </c>
      <c r="O8" s="275"/>
      <c r="R8" s="260">
        <f>Zateplení!J27</f>
        <v>0</v>
      </c>
      <c r="S8" s="260">
        <f t="shared" ref="S8:S13" si="3">(B8)*R8*(VnitřníTeplota-VnějšíTeplota)/1000*24*Denostupně/(VnitřníTeplota-VnějšíTeplota)</f>
        <v>0</v>
      </c>
    </row>
    <row r="9" spans="1:19">
      <c r="A9" s="267" t="s">
        <v>294</v>
      </c>
      <c r="B9" s="261">
        <f>Budova!K17</f>
        <v>0</v>
      </c>
      <c r="C9" s="257">
        <f ca="1">Zateplení!J54</f>
        <v>0</v>
      </c>
      <c r="D9" s="272">
        <f ca="1">IFERROR(1/(1/B9+TlIzolStřechy/1000/LambdaStřecha)+DeltaUStřecha,0)</f>
        <v>0</v>
      </c>
      <c r="E9" s="257">
        <f>Budova!L17</f>
        <v>0</v>
      </c>
      <c r="F9" s="257">
        <f>Budova!N17</f>
        <v>0</v>
      </c>
      <c r="G9" s="259">
        <f>IF(PamátkováOchrana=ano,"bez požadavku",F9*ParametryZateplení!$C$41)</f>
        <v>0</v>
      </c>
      <c r="H9" s="257" t="str">
        <f t="shared" si="0"/>
        <v>Upož,20*e1</v>
      </c>
      <c r="I9" s="257" t="str">
        <f t="shared" ca="1" si="1"/>
        <v/>
      </c>
      <c r="J9" s="274">
        <f ca="1">(B9)*PlochaStřechy*(VnitřníTeplota-VnějšíTeplota)/1000*24*Denostupně/(VnitřníTeplota-VnějšíTeplota)</f>
        <v>0</v>
      </c>
      <c r="K9" s="274">
        <f ca="1">IF(NOT(ZatepleníStřechy),J9,(D9)*PlochaStřechy*(VnitřníTeplota-VnějšíTeplota)/1000*24*Denostupně/(VnitřníTeplota-VnějšíTeplota))</f>
        <v>0</v>
      </c>
      <c r="L9" s="274">
        <f ca="1">IF(NOT(ZatepleníStřechy),0,J9-K9)</f>
        <v>0</v>
      </c>
      <c r="M9" s="273">
        <f t="shared" ref="M9:M14" ca="1" si="4">L9/1000*3.6</f>
        <v>0</v>
      </c>
      <c r="N9" s="270" t="e">
        <f t="shared" ca="1" si="2"/>
        <v>#DIV/0!</v>
      </c>
      <c r="O9" s="275"/>
      <c r="R9" s="260">
        <f ca="1">Zateplení!J30</f>
        <v>0</v>
      </c>
      <c r="S9" s="260">
        <f t="shared" ca="1" si="3"/>
        <v>0</v>
      </c>
    </row>
    <row r="10" spans="1:19">
      <c r="A10" s="267" t="s">
        <v>647</v>
      </c>
      <c r="B10" s="261">
        <f>Budova!K18</f>
        <v>0</v>
      </c>
      <c r="C10" s="257">
        <f ca="1">Zateplení!J62</f>
        <v>0</v>
      </c>
      <c r="D10" s="272">
        <f ca="1">IFERROR(1/(1/B10+TlIzolPodlahy/1000/LambdaPodlaha)+DeltaUPodlaha,0)</f>
        <v>0</v>
      </c>
      <c r="E10" s="257">
        <f>Budova!L18</f>
        <v>0</v>
      </c>
      <c r="F10" s="257">
        <f>Budova!N18</f>
        <v>0</v>
      </c>
      <c r="G10" s="259">
        <f>IF(PamátkováOchrana=ano,"bez požadavku",F10*ParametryZateplení!$C$41)</f>
        <v>0</v>
      </c>
      <c r="H10" s="257" t="str">
        <f t="shared" si="0"/>
        <v>Upož,20*e1</v>
      </c>
      <c r="I10" s="257" t="str">
        <f t="shared" ca="1" si="1"/>
        <v/>
      </c>
      <c r="J10" s="274">
        <f ca="1">(B10)*PlochaPodlahy*(VnitřníTeplota-VnějšíTeplota)/1000*24*Denostupně/(VnitřníTeplota-VnějšíTeplota)</f>
        <v>0</v>
      </c>
      <c r="K10" s="274">
        <f ca="1">IF(NOT(ZatepleníPodlahy),J10,(D10)*PlochaPodlahy*(VnitřníTeplota-VnějšíTeplota)/1000*24*Denostupně/(VnitřníTeplota-VnějšíTeplota))</f>
        <v>0</v>
      </c>
      <c r="L10" s="274">
        <f ca="1">IF(NOT(ZatepleníPodlahy),0,J10-K10)</f>
        <v>0</v>
      </c>
      <c r="M10" s="273">
        <f t="shared" ca="1" si="4"/>
        <v>0</v>
      </c>
      <c r="N10" s="270" t="e">
        <f t="shared" ca="1" si="2"/>
        <v>#DIV/0!</v>
      </c>
      <c r="O10" s="275"/>
      <c r="R10" s="260">
        <f ca="1">Zateplení!J33</f>
        <v>0</v>
      </c>
      <c r="S10" s="260">
        <f t="shared" ca="1" si="3"/>
        <v>0</v>
      </c>
    </row>
    <row r="11" spans="1:19">
      <c r="A11" s="267" t="s">
        <v>300</v>
      </c>
      <c r="B11" s="257">
        <f>Budova!K19</f>
        <v>0</v>
      </c>
      <c r="C11" s="257">
        <f ca="1">Zateplení!J69</f>
        <v>0</v>
      </c>
      <c r="D11" s="271">
        <f ca="1">Zateplení!J69</f>
        <v>0</v>
      </c>
      <c r="E11" s="257">
        <f>Budova!L19</f>
        <v>0</v>
      </c>
      <c r="F11" s="257">
        <f>Budova!N19</f>
        <v>0</v>
      </c>
      <c r="G11" s="259">
        <f>IF(PamátkováOchrana=ano,"bez požadavku",F11*ParametryZateplení!$C$41)</f>
        <v>0</v>
      </c>
      <c r="H11" s="257" t="str">
        <f t="shared" si="0"/>
        <v>Upož,20*e1</v>
      </c>
      <c r="I11" s="257" t="str">
        <f t="shared" ca="1" si="1"/>
        <v/>
      </c>
      <c r="J11" s="274">
        <f ca="1">(B11)*PlochaOken*(VnitřníTeplota-VnějšíTeplota)/1000*24*Denostupně/(VnitřníTeplota-VnějšíTeplota)</f>
        <v>0</v>
      </c>
      <c r="K11" s="274">
        <f ca="1">IF(NOT(VýměnaOken),J11,(D11)*PlochaOken*(VnitřníTeplota-VnějšíTeplota)/1000*24*Denostupně/(VnitřníTeplota-VnějšíTeplota))</f>
        <v>0</v>
      </c>
      <c r="L11" s="274">
        <f ca="1">IF(NOT(VýměnaOken),0,J11-K11)</f>
        <v>0</v>
      </c>
      <c r="M11" s="273">
        <f t="shared" ca="1" si="4"/>
        <v>0</v>
      </c>
      <c r="N11" s="270" t="e">
        <f t="shared" ca="1" si="2"/>
        <v>#DIV/0!</v>
      </c>
      <c r="O11" s="275"/>
      <c r="R11" s="257">
        <f ca="1">Zateplení!J35</f>
        <v>0</v>
      </c>
      <c r="S11" s="260">
        <f t="shared" ca="1" si="3"/>
        <v>0</v>
      </c>
    </row>
    <row r="12" spans="1:19">
      <c r="A12" s="267" t="s">
        <v>897</v>
      </c>
      <c r="B12" s="261">
        <f>Budova!K20</f>
        <v>0</v>
      </c>
      <c r="C12" s="257">
        <f ca="1">Zateplení!J75</f>
        <v>0</v>
      </c>
      <c r="D12" s="271">
        <f ca="1">Zateplení!J75</f>
        <v>0</v>
      </c>
      <c r="E12" s="257">
        <f>Budova!L20</f>
        <v>0</v>
      </c>
      <c r="F12" s="257">
        <f>Budova!N20</f>
        <v>0</v>
      </c>
      <c r="G12" s="259">
        <f>IF(PamátkováOchrana=ano,"bez požadavku",F12*ParametryZateplení!$C$41)</f>
        <v>0</v>
      </c>
      <c r="H12" s="257" t="str">
        <f t="shared" si="0"/>
        <v>Upož,20*e1</v>
      </c>
      <c r="I12" s="257" t="str">
        <f t="shared" ca="1" si="1"/>
        <v/>
      </c>
      <c r="J12" s="274">
        <f ca="1">(B12)*PlochaDveří*(VnitřníTeplota-VnějšíTeplota)/1000*24*Denostupně/(VnitřníTeplota-VnějšíTeplota)</f>
        <v>0</v>
      </c>
      <c r="K12" s="274">
        <f ca="1">IF(NOT(VýměnaDveří),J12,(D12)*PlochaDveří*(VnitřníTeplota-VnějšíTeplota)/1000*24*Denostupně/(VnitřníTeplota-VnějšíTeplota))</f>
        <v>0</v>
      </c>
      <c r="L12" s="274">
        <f ca="1">IF(NOT(VýměnaDveří),0,J12-K12)</f>
        <v>0</v>
      </c>
      <c r="M12" s="273">
        <f t="shared" ca="1" si="4"/>
        <v>0</v>
      </c>
      <c r="N12" s="270" t="e">
        <f t="shared" ca="1" si="2"/>
        <v>#DIV/0!</v>
      </c>
      <c r="O12" s="275"/>
      <c r="R12" s="257">
        <f ca="1">Zateplení!J37</f>
        <v>0</v>
      </c>
      <c r="S12" s="260">
        <f t="shared" ca="1" si="3"/>
        <v>0</v>
      </c>
    </row>
    <row r="13" spans="1:19">
      <c r="A13" s="267" t="s">
        <v>898</v>
      </c>
      <c r="B13" s="261">
        <f>Budova!K21</f>
        <v>0</v>
      </c>
      <c r="C13" s="257">
        <f ca="1">Zateplení!J81</f>
        <v>0</v>
      </c>
      <c r="D13" s="271">
        <f ca="1">Zateplení!J81</f>
        <v>0</v>
      </c>
      <c r="E13" s="257">
        <f>Budova!L21</f>
        <v>0</v>
      </c>
      <c r="F13" s="257">
        <f>Budova!N21</f>
        <v>0</v>
      </c>
      <c r="G13" s="259">
        <f>IF(PamátkováOchrana=ano,"bez požadavku",F13*ParametryZateplení!$C$41)</f>
        <v>0</v>
      </c>
      <c r="H13" s="257" t="str">
        <f t="shared" si="0"/>
        <v>Upož,20*e1</v>
      </c>
      <c r="I13" s="257" t="str">
        <f t="shared" ca="1" si="1"/>
        <v/>
      </c>
      <c r="J13" s="274">
        <f ca="1">(B13)*PlochaSvětlíků*(VnitřníTeplota-VnějšíTeplota)/1000*24*Denostupně/(VnitřníTeplota-VnějšíTeplota)</f>
        <v>0</v>
      </c>
      <c r="K13" s="274">
        <f ca="1">IF(NOT(VýměnaSvětlíků),J13,(D13)*PlochaSvětlíků*(VnitřníTeplota-VnějšíTeplota)/1000*24*Denostupně/(VnitřníTeplota-VnějšíTeplota))</f>
        <v>0</v>
      </c>
      <c r="L13" s="274">
        <f ca="1">IF(NOT(VýměnaSvětlíků),0,J13-K13)</f>
        <v>0</v>
      </c>
      <c r="M13" s="273">
        <f t="shared" ca="1" si="4"/>
        <v>0</v>
      </c>
      <c r="N13" s="270" t="e">
        <f t="shared" ca="1" si="2"/>
        <v>#DIV/0!</v>
      </c>
      <c r="O13" s="275"/>
      <c r="R13" s="257">
        <f ca="1">Zateplení!J39</f>
        <v>0</v>
      </c>
      <c r="S13" s="260">
        <f t="shared" ca="1" si="3"/>
        <v>0</v>
      </c>
    </row>
    <row r="14" spans="1:19">
      <c r="A14" s="267" t="s">
        <v>899</v>
      </c>
      <c r="D14" s="271"/>
      <c r="I14" s="258" t="s">
        <v>481</v>
      </c>
      <c r="J14" s="276">
        <f>0.34*Rekuperace!H5*24*Denostupně/1000</f>
        <v>0</v>
      </c>
      <c r="K14" s="276">
        <f>IFERROR(0.34*Rekuperace!H5*(1-Rekuperace!D4)*24*Denostupně/1000,0)</f>
        <v>0</v>
      </c>
      <c r="L14" s="276">
        <f>J14-K14</f>
        <v>0</v>
      </c>
      <c r="M14" s="277">
        <f t="shared" si="4"/>
        <v>0</v>
      </c>
      <c r="N14" s="278" t="e">
        <f t="shared" si="2"/>
        <v>#DIV/0!</v>
      </c>
      <c r="O14" s="275"/>
      <c r="S14" s="260">
        <f>J14</f>
        <v>0</v>
      </c>
    </row>
    <row r="15" spans="1:19">
      <c r="A15" s="267" t="s">
        <v>482</v>
      </c>
      <c r="D15" s="271"/>
      <c r="I15" s="269" t="s">
        <v>8</v>
      </c>
      <c r="J15" s="274">
        <f ca="1">SUM(J8:J13)</f>
        <v>0</v>
      </c>
      <c r="K15" s="274">
        <f ca="1">SUM(K8:K13)</f>
        <v>0</v>
      </c>
      <c r="L15" s="274">
        <f ca="1">SUM(L8:L13)</f>
        <v>0</v>
      </c>
      <c r="M15" s="270">
        <f ca="1">SUM(M8:M13)</f>
        <v>0</v>
      </c>
      <c r="N15" s="270" t="e">
        <f t="shared" ca="1" si="2"/>
        <v>#DIV/0!</v>
      </c>
      <c r="O15" s="275"/>
      <c r="S15" s="260">
        <f ca="1">SUM(S8:S13)</f>
        <v>0</v>
      </c>
    </row>
    <row r="16" spans="1:19">
      <c r="A16" s="267"/>
      <c r="B16" s="269"/>
      <c r="C16" s="268"/>
      <c r="D16" s="268"/>
      <c r="E16" s="267"/>
      <c r="F16" s="264"/>
      <c r="G16" s="264"/>
      <c r="H16" s="264"/>
      <c r="I16" s="264"/>
      <c r="J16" s="264"/>
      <c r="K16" s="264"/>
      <c r="M16" s="257" t="s">
        <v>469</v>
      </c>
      <c r="N16" s="260" t="e">
        <f ca="1">J15/Zateplení!$F$10</f>
        <v>#DIV/0!</v>
      </c>
      <c r="O16" s="260" t="e">
        <f ca="1">K15/Zateplení!$F$10</f>
        <v>#DIV/0!</v>
      </c>
      <c r="P16" s="260" t="e">
        <f ca="1">L15/Zateplení!$F$10</f>
        <v>#DIV/0!</v>
      </c>
      <c r="Q16" s="257" t="e">
        <f ca="1">L15/J15</f>
        <v>#DIV/0!</v>
      </c>
    </row>
    <row r="17" spans="1:11">
      <c r="A17" s="267" t="s">
        <v>483</v>
      </c>
      <c r="B17" s="265"/>
      <c r="C17" s="265" t="s">
        <v>469</v>
      </c>
      <c r="D17" s="268"/>
      <c r="E17" s="267"/>
      <c r="F17" s="264"/>
      <c r="G17" s="264"/>
      <c r="H17" s="264"/>
      <c r="I17" s="264"/>
      <c r="J17" s="264"/>
      <c r="K17" s="264"/>
    </row>
    <row r="18" spans="1:11">
      <c r="A18" s="267" t="s">
        <v>484</v>
      </c>
      <c r="B18" s="265">
        <f ca="1">IF(NOT(JePENB),$J$15,Zateplení!F21)</f>
        <v>0</v>
      </c>
      <c r="C18" s="265" t="s">
        <v>8</v>
      </c>
      <c r="D18" s="262">
        <f ca="1">B18/1000*3.6</f>
        <v>0</v>
      </c>
      <c r="E18" s="264" t="s">
        <v>447</v>
      </c>
      <c r="F18" s="264" t="s">
        <v>485</v>
      </c>
      <c r="G18" s="264"/>
      <c r="H18" s="264"/>
      <c r="I18" s="264"/>
      <c r="J18" s="264"/>
      <c r="K18" s="264"/>
    </row>
    <row r="19" spans="1:11">
      <c r="A19" s="267" t="s">
        <v>486</v>
      </c>
      <c r="B19" s="265">
        <f ca="1">IF(NOT(JePENB),$K$15,Zateplení!F19)</f>
        <v>0</v>
      </c>
      <c r="C19" s="265" t="s">
        <v>8</v>
      </c>
      <c r="D19" s="262">
        <f ca="1">B19/1000*3.6</f>
        <v>0</v>
      </c>
      <c r="E19" s="264" t="s">
        <v>447</v>
      </c>
      <c r="F19" s="264" t="s">
        <v>485</v>
      </c>
      <c r="G19" s="264"/>
      <c r="H19" s="264"/>
      <c r="I19" s="264"/>
      <c r="J19" s="264"/>
      <c r="K19" s="264"/>
    </row>
    <row r="20" spans="1:11">
      <c r="A20" s="267" t="s">
        <v>487</v>
      </c>
      <c r="B20" s="265">
        <f ca="1">B18-B19</f>
        <v>0</v>
      </c>
      <c r="C20" s="265" t="s">
        <v>8</v>
      </c>
      <c r="D20" s="262">
        <f ca="1">D18-D19</f>
        <v>0</v>
      </c>
      <c r="E20" s="264" t="s">
        <v>447</v>
      </c>
      <c r="F20" s="264"/>
      <c r="G20" s="264"/>
      <c r="H20" s="264"/>
      <c r="I20" s="264"/>
      <c r="J20" s="264"/>
      <c r="K20" s="264"/>
    </row>
  </sheetData>
  <sheetProtection algorithmName="SHA-512" hashValue="wUF68Kb8XVypQTQ9Bb3rjt0KieiOaPGuMnJd8Ey34a750D+9NGK0EyF/47SuTAQuvLYAlje0WOb0hjqakUjRvQ==" saltValue="cbX5w16IrzATqhaM/V+PrQ==" spinCount="100000" sheet="1" objects="1" scenarios="1"/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85C49F-CC87-4996-8B43-2DB8E866C131}">
  <sheetPr codeName="List10"/>
  <dimension ref="A1:L48"/>
  <sheetViews>
    <sheetView workbookViewId="0"/>
  </sheetViews>
  <sheetFormatPr defaultRowHeight="15"/>
  <cols>
    <col min="1" max="1" width="64.7109375" bestFit="1" customWidth="1"/>
    <col min="2" max="2" width="20.85546875" bestFit="1" customWidth="1"/>
    <col min="3" max="3" width="31.7109375" bestFit="1" customWidth="1"/>
    <col min="4" max="4" width="20.42578125" bestFit="1" customWidth="1"/>
    <col min="5" max="5" width="20.140625" bestFit="1" customWidth="1"/>
    <col min="6" max="6" width="54" customWidth="1"/>
    <col min="7" max="7" width="28.85546875" bestFit="1" customWidth="1"/>
    <col min="8" max="8" width="18.42578125" bestFit="1" customWidth="1"/>
    <col min="9" max="9" width="29.7109375" bestFit="1" customWidth="1"/>
    <col min="11" max="11" width="26.28515625" bestFit="1" customWidth="1"/>
    <col min="12" max="12" width="11" customWidth="1"/>
  </cols>
  <sheetData>
    <row r="1" spans="1:9">
      <c r="A1">
        <f>IFERROR(MATCH(Zateplení!F4,TZadání[Zateplení],0),0)</f>
        <v>0</v>
      </c>
      <c r="C1">
        <f>IFERROR(MATCH(Zateplení!F6,TTypBudovy[typ budovy],0),0)</f>
        <v>0</v>
      </c>
      <c r="F1">
        <f>IFERROR(MATCH(Zateplení!F11,TObdobíVýstavby[Období výstavby],0),0)</f>
        <v>0</v>
      </c>
      <c r="G1" cm="1">
        <f t="array" ref="G1">IF(F1=0,0,INDEX(TObdobíVýstavby[Měrná spotřeba energie budovy (kWh/m2) - původní stav],F1))</f>
        <v>0</v>
      </c>
      <c r="H1" s="387" cm="1">
        <f t="array" ref="H1">IF(F1=0,0,INDEX(TObdobíVýstavby[Podíl elektřiny],F1))</f>
        <v>0</v>
      </c>
      <c r="I1" s="387" cm="1">
        <f t="array" ref="I1">IF(F1=0,0,INDEX(TObdobíVýstavby[Podíl rekuperace],F1))</f>
        <v>0</v>
      </c>
    </row>
    <row r="2" spans="1:9">
      <c r="A2" t="s">
        <v>453</v>
      </c>
      <c r="C2" t="s">
        <v>456</v>
      </c>
      <c r="E2" t="s">
        <v>275</v>
      </c>
      <c r="F2" t="s">
        <v>645</v>
      </c>
      <c r="G2" t="s">
        <v>1191</v>
      </c>
      <c r="H2" t="s">
        <v>1200</v>
      </c>
    </row>
    <row r="3" spans="1:9">
      <c r="A3" t="s">
        <v>454</v>
      </c>
      <c r="C3" t="s">
        <v>457</v>
      </c>
      <c r="E3" s="457" t="s">
        <v>904</v>
      </c>
      <c r="F3">
        <v>170</v>
      </c>
      <c r="G3" s="387">
        <v>0.25</v>
      </c>
      <c r="H3" s="167">
        <v>0.3</v>
      </c>
    </row>
    <row r="4" spans="1:9">
      <c r="A4" t="s">
        <v>455</v>
      </c>
      <c r="C4" t="s">
        <v>458</v>
      </c>
      <c r="E4" t="s">
        <v>413</v>
      </c>
      <c r="F4">
        <v>180</v>
      </c>
      <c r="G4" s="387">
        <v>0.25</v>
      </c>
      <c r="H4" s="167">
        <v>0.3</v>
      </c>
    </row>
    <row r="5" spans="1:9">
      <c r="C5" t="s">
        <v>459</v>
      </c>
      <c r="E5" t="s">
        <v>414</v>
      </c>
      <c r="F5">
        <v>180</v>
      </c>
      <c r="G5" s="387">
        <v>0.25</v>
      </c>
      <c r="H5" s="167">
        <v>0.3</v>
      </c>
    </row>
    <row r="6" spans="1:9">
      <c r="C6" t="s">
        <v>460</v>
      </c>
      <c r="E6" t="s">
        <v>415</v>
      </c>
      <c r="F6">
        <v>220</v>
      </c>
      <c r="G6" s="387">
        <v>0.2</v>
      </c>
      <c r="H6" s="167">
        <v>0.25</v>
      </c>
    </row>
    <row r="7" spans="1:9">
      <c r="C7" t="s">
        <v>461</v>
      </c>
      <c r="E7" t="s">
        <v>416</v>
      </c>
      <c r="F7">
        <v>130</v>
      </c>
      <c r="G7" s="387">
        <v>0.3</v>
      </c>
      <c r="H7" s="167">
        <v>0.35</v>
      </c>
    </row>
    <row r="8" spans="1:9">
      <c r="C8" t="s">
        <v>462</v>
      </c>
      <c r="E8" t="s">
        <v>417</v>
      </c>
      <c r="F8">
        <v>100</v>
      </c>
      <c r="G8" s="387">
        <v>0.35</v>
      </c>
      <c r="H8" s="167">
        <v>0.4</v>
      </c>
    </row>
    <row r="9" spans="1:9">
      <c r="C9" t="s">
        <v>463</v>
      </c>
    </row>
    <row r="10" spans="1:9">
      <c r="C10" t="s">
        <v>464</v>
      </c>
    </row>
    <row r="11" spans="1:9">
      <c r="C11" t="s">
        <v>465</v>
      </c>
    </row>
    <row r="13" spans="1:9">
      <c r="A13" s="82" t="s">
        <v>644</v>
      </c>
    </row>
    <row r="15" spans="1:9">
      <c r="A15" s="319" t="s">
        <v>202</v>
      </c>
      <c r="B15">
        <f>IFERROR(MATCH(Zateplení!F13,TZdrojBudova[#Headers],0),0)</f>
        <v>0</v>
      </c>
    </row>
    <row r="16" spans="1:9">
      <c r="A16" s="319" t="s">
        <v>205</v>
      </c>
      <c r="B16" cm="1">
        <f t="array" ref="B16:G16">INDEX($B$17:$G$17,1,B15)</f>
        <v>4</v>
      </c>
      <c r="C16">
        <v>1</v>
      </c>
      <c r="D16">
        <v>1</v>
      </c>
      <c r="E16">
        <v>1</v>
      </c>
      <c r="F16">
        <v>1</v>
      </c>
      <c r="G16">
        <v>7</v>
      </c>
    </row>
    <row r="17" spans="1:12">
      <c r="A17" s="319" t="s">
        <v>203</v>
      </c>
      <c r="B17">
        <f>COUNTA(TZdrojBudova[kotel na tuhá paliva])</f>
        <v>4</v>
      </c>
      <c r="C17">
        <f>COUNTA(TZdrojBudova[kotel na zemní plyn])</f>
        <v>1</v>
      </c>
      <c r="D17">
        <f>COUNTA(TZdrojBudova[elektrokotel])</f>
        <v>1</v>
      </c>
      <c r="E17">
        <f>COUNTA(TZdrojBudova[kotel na topný olej])</f>
        <v>1</v>
      </c>
      <c r="F17">
        <f>COUNTA(TZdrojBudova[tepelné čerpadlo])</f>
        <v>1</v>
      </c>
      <c r="G17">
        <f>COUNTA(TZdrojBudova[centrální zásobování teplem])</f>
        <v>7</v>
      </c>
    </row>
    <row r="18" spans="1:12">
      <c r="A18" s="319" t="s">
        <v>204</v>
      </c>
      <c r="B18" t="b">
        <f>IFERROR(MATCH(Zateplení!$F$14,TZdrojBudova[kotel na tuhá paliva],0),0)&gt;0</f>
        <v>0</v>
      </c>
      <c r="C18" t="b">
        <f>IFERROR(MATCH(Zateplení!$F$14,TZdrojBudova[kotel na zemní plyn],0),0)&gt;0</f>
        <v>0</v>
      </c>
      <c r="D18" t="b">
        <f>IFERROR(MATCH(Zateplení!$F$14,TZdrojBudova[elektrokotel],0),0)&gt;0</f>
        <v>0</v>
      </c>
      <c r="E18" t="b">
        <f>IFERROR(MATCH(Zateplení!$F$14,TZdrojBudova[kotel na topný olej],0),0)&gt;0</f>
        <v>0</v>
      </c>
      <c r="F18" t="b">
        <f>IFERROR(MATCH(Zateplení!$F$14,TZdrojBudova[tepelné čerpadlo],0),0)&gt;0</f>
        <v>0</v>
      </c>
      <c r="G18" t="b">
        <f>IFERROR(MATCH(Zateplení!$F$14,TZdrojBudova[centrální zásobování teplem],0),0)&gt;0</f>
        <v>0</v>
      </c>
      <c r="I18">
        <f>IFERROR(MATCH(Zateplení!J15,TTypSZTBudova[typ SZT],0),0)</f>
        <v>0</v>
      </c>
      <c r="L18" s="320" cm="1">
        <f t="array" ref="L18">IF(B15&gt;0,INDEX(Tabulka9[Účinnost],B15),0)</f>
        <v>0</v>
      </c>
    </row>
    <row r="19" spans="1:12">
      <c r="A19" s="82" t="s">
        <v>643</v>
      </c>
      <c r="B19" t="s">
        <v>144</v>
      </c>
      <c r="C19" t="s">
        <v>184</v>
      </c>
      <c r="D19" t="s">
        <v>185</v>
      </c>
      <c r="E19" t="s">
        <v>186</v>
      </c>
      <c r="F19" t="s">
        <v>187</v>
      </c>
      <c r="G19" t="s">
        <v>188</v>
      </c>
      <c r="I19" t="s">
        <v>206</v>
      </c>
      <c r="K19" t="s">
        <v>644</v>
      </c>
      <c r="L19" t="s">
        <v>648</v>
      </c>
    </row>
    <row r="20" spans="1:12">
      <c r="A20" t="str">
        <f>ADDRESS(ROW(),COLUMN()+B15,1,1,"ParametryZateplení") &amp; ":" &amp; ADDRESS(ROW(A20)+B16-1,COLUMN()+B15,1,1)</f>
        <v>ParametryZateplení!$A$20:$A$23</v>
      </c>
      <c r="B20" t="s">
        <v>189</v>
      </c>
      <c r="C20" t="s">
        <v>190</v>
      </c>
      <c r="D20" t="s">
        <v>191</v>
      </c>
      <c r="E20" t="s">
        <v>192</v>
      </c>
      <c r="F20" t="s">
        <v>191</v>
      </c>
      <c r="G20" t="s">
        <v>190</v>
      </c>
      <c r="I20" t="s">
        <v>942</v>
      </c>
      <c r="K20" t="s">
        <v>144</v>
      </c>
      <c r="L20" s="320">
        <v>0.6</v>
      </c>
    </row>
    <row r="21" spans="1:12">
      <c r="B21" t="s">
        <v>193</v>
      </c>
      <c r="G21" t="s">
        <v>189</v>
      </c>
      <c r="I21" t="s">
        <v>207</v>
      </c>
      <c r="K21" t="s">
        <v>184</v>
      </c>
      <c r="L21" s="320">
        <v>0.89</v>
      </c>
    </row>
    <row r="22" spans="1:12">
      <c r="B22" t="s">
        <v>148</v>
      </c>
      <c r="G22" t="s">
        <v>193</v>
      </c>
      <c r="K22" t="s">
        <v>185</v>
      </c>
      <c r="L22" s="320">
        <v>0.98</v>
      </c>
    </row>
    <row r="23" spans="1:12">
      <c r="B23" t="s">
        <v>194</v>
      </c>
      <c r="G23" t="s">
        <v>148</v>
      </c>
      <c r="K23" t="s">
        <v>186</v>
      </c>
      <c r="L23" s="320">
        <v>0.87</v>
      </c>
    </row>
    <row r="24" spans="1:12">
      <c r="G24" t="s">
        <v>194</v>
      </c>
      <c r="K24" t="s">
        <v>187</v>
      </c>
      <c r="L24" s="320">
        <v>2.7</v>
      </c>
    </row>
    <row r="25" spans="1:12">
      <c r="G25" t="s">
        <v>191</v>
      </c>
      <c r="K25" t="s">
        <v>188</v>
      </c>
      <c r="L25" s="320">
        <v>1</v>
      </c>
    </row>
    <row r="26" spans="1:12">
      <c r="G26" t="s">
        <v>192</v>
      </c>
    </row>
    <row r="29" spans="1:12">
      <c r="A29" t="s">
        <v>660</v>
      </c>
      <c r="B29">
        <v>5</v>
      </c>
    </row>
    <row r="30" spans="1:12">
      <c r="A30" t="s">
        <v>660</v>
      </c>
      <c r="B30">
        <v>30</v>
      </c>
    </row>
    <row r="31" spans="1:12" ht="17.25">
      <c r="A31" t="s">
        <v>657</v>
      </c>
      <c r="B31">
        <v>0</v>
      </c>
    </row>
    <row r="32" spans="1:12" ht="17.25">
      <c r="A32" t="s">
        <v>657</v>
      </c>
      <c r="B32">
        <v>5</v>
      </c>
    </row>
    <row r="33" spans="1:3" ht="17.25">
      <c r="A33" t="s">
        <v>661</v>
      </c>
      <c r="B33">
        <v>20</v>
      </c>
    </row>
    <row r="34" spans="1:3">
      <c r="A34" t="s">
        <v>662</v>
      </c>
      <c r="B34" s="167">
        <v>0.1</v>
      </c>
    </row>
    <row r="35" spans="1:3">
      <c r="A35" t="s">
        <v>663</v>
      </c>
      <c r="B35" s="167">
        <v>0.05</v>
      </c>
    </row>
    <row r="36" spans="1:3">
      <c r="A36" t="s">
        <v>664</v>
      </c>
      <c r="B36" s="167">
        <v>0.1</v>
      </c>
    </row>
    <row r="37" spans="1:3">
      <c r="A37" t="s">
        <v>733</v>
      </c>
      <c r="B37">
        <v>500</v>
      </c>
    </row>
    <row r="38" spans="1:3">
      <c r="A38" t="s">
        <v>734</v>
      </c>
      <c r="B38">
        <v>0</v>
      </c>
    </row>
    <row r="39" spans="1:3">
      <c r="A39" t="s">
        <v>735</v>
      </c>
      <c r="B39">
        <v>7</v>
      </c>
    </row>
    <row r="40" spans="1:3">
      <c r="A40" t="s">
        <v>887</v>
      </c>
      <c r="B40">
        <v>-12</v>
      </c>
    </row>
    <row r="41" spans="1:3">
      <c r="A41" t="s">
        <v>466</v>
      </c>
      <c r="B41">
        <f>VnitřníTeplota</f>
        <v>0</v>
      </c>
      <c r="C41">
        <f>IF(AND(VnitřníTeplota&gt;=18,VnitřníTeplota&lt;=22),1,16/(VnitřníTeplota-4))</f>
        <v>-4</v>
      </c>
    </row>
    <row r="42" spans="1:3">
      <c r="A42" t="s">
        <v>888</v>
      </c>
      <c r="B42">
        <v>3.9</v>
      </c>
    </row>
    <row r="43" spans="1:3">
      <c r="A43" t="s">
        <v>889</v>
      </c>
      <c r="B43">
        <v>242</v>
      </c>
    </row>
    <row r="44" spans="1:3">
      <c r="A44" t="s">
        <v>890</v>
      </c>
      <c r="B44">
        <f>(B41-B42)*B43</f>
        <v>-943.8</v>
      </c>
    </row>
    <row r="46" spans="1:3">
      <c r="A46" t="s">
        <v>927</v>
      </c>
      <c r="B46" s="388">
        <f>EtaZdrBudova</f>
        <v>0</v>
      </c>
    </row>
    <row r="48" spans="1:3">
      <c r="A48" t="s">
        <v>1189</v>
      </c>
      <c r="B48" s="167">
        <v>0.9</v>
      </c>
    </row>
  </sheetData>
  <sheetProtection algorithmName="SHA-512" hashValue="XcElr+kqEcaLz1Ssc1S9iWTl5qbCZTDsGmq4Y34U5Sp56yNQcQCGhwJDKUhXPkmZ7SvMs9TMLPk3u/lxZSey0w==" saltValue="K2/bX19CwpLYawSVnzRkiw==" spinCount="100000" sheet="1" objects="1" scenarios="1"/>
  <pageMargins left="0.7" right="0.7" top="0.78740157499999996" bottom="0.78740157499999996" header="0.3" footer="0.3"/>
  <tableParts count="6">
    <tablePart r:id="rId1"/>
    <tablePart r:id="rId2"/>
    <tablePart r:id="rId3"/>
    <tablePart r:id="rId4"/>
    <tablePart r:id="rId5"/>
    <tablePart r:id="rId6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010639-BEB7-4DF7-A17C-219C6247EE1B}">
  <sheetPr codeName="List12"/>
  <dimension ref="A1:P304"/>
  <sheetViews>
    <sheetView topLeftCell="C1" workbookViewId="0">
      <selection activeCell="J11" sqref="J11"/>
    </sheetView>
  </sheetViews>
  <sheetFormatPr defaultRowHeight="15"/>
  <cols>
    <col min="1" max="1" width="19.7109375" bestFit="1" customWidth="1"/>
    <col min="2" max="2" width="44.7109375" customWidth="1"/>
    <col min="3" max="3" width="73.42578125" bestFit="1" customWidth="1"/>
    <col min="4" max="4" width="61.7109375" bestFit="1" customWidth="1"/>
    <col min="5" max="5" width="11.140625" bestFit="1" customWidth="1"/>
    <col min="6" max="6" width="10.5703125" customWidth="1"/>
    <col min="10" max="10" width="19.42578125" bestFit="1" customWidth="1"/>
    <col min="11" max="11" width="23.7109375" bestFit="1" customWidth="1"/>
    <col min="12" max="12" width="19" bestFit="1" customWidth="1"/>
    <col min="15" max="15" width="15.42578125" customWidth="1"/>
    <col min="16" max="16" width="70.42578125" bestFit="1" customWidth="1"/>
  </cols>
  <sheetData>
    <row r="1" spans="1:16">
      <c r="A1" t="s">
        <v>646</v>
      </c>
      <c r="C1">
        <f>ParametryZateplení!F1</f>
        <v>0</v>
      </c>
      <c r="E1" s="82"/>
      <c r="J1">
        <f>IFERROR(MATCH(Zateplení!F28,TStřecha[Střecha],0),0)</f>
        <v>0</v>
      </c>
      <c r="L1">
        <f>IFERROR(MATCH(Zateplení!F31,TPodlaha[Podlaha],0),0)</f>
        <v>0</v>
      </c>
    </row>
    <row r="2" spans="1:16">
      <c r="J2" t="s">
        <v>294</v>
      </c>
      <c r="L2" t="s">
        <v>647</v>
      </c>
    </row>
    <row r="3" spans="1:16">
      <c r="J3" t="s">
        <v>495</v>
      </c>
      <c r="L3" t="s">
        <v>516</v>
      </c>
    </row>
    <row r="4" spans="1:16">
      <c r="A4" s="279" t="s">
        <v>488</v>
      </c>
      <c r="B4" s="280">
        <f>$C$1</f>
        <v>0</v>
      </c>
      <c r="C4" s="280">
        <f>C1</f>
        <v>0</v>
      </c>
      <c r="D4" s="280" t="e">
        <f>INDEX(D5:D10,C4)</f>
        <v>#VALUE!</v>
      </c>
      <c r="E4" s="281"/>
      <c r="F4" s="281"/>
      <c r="G4" s="281"/>
      <c r="H4" s="281"/>
      <c r="J4" t="s">
        <v>502</v>
      </c>
      <c r="L4" t="s">
        <v>544</v>
      </c>
    </row>
    <row r="5" spans="1:16">
      <c r="A5" t="s">
        <v>488</v>
      </c>
      <c r="B5" s="282" t="str">
        <f>ParametryZateplení!$E$3</f>
        <v>do 1920</v>
      </c>
      <c r="C5" s="282">
        <v>1</v>
      </c>
      <c r="D5" s="282" t="s">
        <v>489</v>
      </c>
      <c r="J5" t="s">
        <v>509</v>
      </c>
    </row>
    <row r="6" spans="1:16">
      <c r="A6" t="s">
        <v>488</v>
      </c>
      <c r="B6" s="282" t="str">
        <f>ParametryZateplení!$E$4</f>
        <v>1921 až 1945</v>
      </c>
      <c r="C6" s="282">
        <v>2</v>
      </c>
      <c r="D6" s="282" t="s">
        <v>490</v>
      </c>
    </row>
    <row r="7" spans="1:16">
      <c r="A7" t="s">
        <v>488</v>
      </c>
      <c r="B7" s="282" t="str">
        <f>ParametryZateplení!$E$5</f>
        <v>1946 až 1960</v>
      </c>
      <c r="C7" s="282">
        <v>3</v>
      </c>
      <c r="D7" s="282" t="s">
        <v>491</v>
      </c>
    </row>
    <row r="8" spans="1:16">
      <c r="A8" t="s">
        <v>488</v>
      </c>
      <c r="B8" s="282" t="str">
        <f>ParametryZateplení!$E$6</f>
        <v>1961 až 1980</v>
      </c>
      <c r="C8" s="282">
        <v>4</v>
      </c>
      <c r="D8" s="282" t="s">
        <v>492</v>
      </c>
    </row>
    <row r="9" spans="1:16">
      <c r="A9" t="s">
        <v>488</v>
      </c>
      <c r="B9" s="282" t="str">
        <f>ParametryZateplení!$E$7</f>
        <v>1981 až 1994</v>
      </c>
      <c r="C9" s="282">
        <v>5</v>
      </c>
      <c r="D9" s="282" t="s">
        <v>493</v>
      </c>
    </row>
    <row r="10" spans="1:16">
      <c r="A10" t="s">
        <v>488</v>
      </c>
      <c r="B10" s="282" t="str">
        <f>ParametryZateplení!$E$8</f>
        <v>1995 a dále</v>
      </c>
      <c r="C10" s="282">
        <v>6</v>
      </c>
      <c r="D10" s="282" t="s">
        <v>494</v>
      </c>
    </row>
    <row r="11" spans="1:16">
      <c r="A11" s="279" t="s">
        <v>495</v>
      </c>
      <c r="B11" s="280">
        <f>$C$1</f>
        <v>0</v>
      </c>
      <c r="C11" s="280">
        <f>$C$4</f>
        <v>0</v>
      </c>
      <c r="D11" s="280" t="e">
        <f>INDEX(D12:D17,C11)</f>
        <v>#VALUE!</v>
      </c>
      <c r="E11" s="281"/>
      <c r="F11" s="281"/>
      <c r="G11" s="281"/>
      <c r="H11" s="281"/>
      <c r="J11" s="82" t="s">
        <v>736</v>
      </c>
      <c r="L11" s="82" t="s">
        <v>737</v>
      </c>
    </row>
    <row r="12" spans="1:16">
      <c r="A12" t="s">
        <v>495</v>
      </c>
      <c r="B12" s="282" t="str">
        <f>ParametryZateplení!$E$3</f>
        <v>do 1920</v>
      </c>
      <c r="C12" s="282">
        <v>1</v>
      </c>
      <c r="D12" s="282" t="s">
        <v>496</v>
      </c>
      <c r="J12" t="e">
        <f>CHOOSE(J1,D11,D18,D25)</f>
        <v>#VALUE!</v>
      </c>
      <c r="L12" t="e">
        <f>CHOOSE(L1,D32,D60)</f>
        <v>#VALUE!</v>
      </c>
    </row>
    <row r="13" spans="1:16">
      <c r="A13" t="s">
        <v>495</v>
      </c>
      <c r="B13" s="282" t="str">
        <f>ParametryZateplení!$E$4</f>
        <v>1921 až 1945</v>
      </c>
      <c r="C13" s="282">
        <v>2</v>
      </c>
      <c r="D13" s="282" t="s">
        <v>497</v>
      </c>
      <c r="J13" t="b">
        <f ca="1">IFERROR(MATCH(Zateplení!F29,INDIRECT(J12),0),0)&gt;0</f>
        <v>0</v>
      </c>
      <c r="L13" t="b">
        <f ca="1">IFERROR(MATCH(Zateplení!F32,INDIRECT(L12),0),0)&gt;0</f>
        <v>0</v>
      </c>
    </row>
    <row r="14" spans="1:16">
      <c r="A14" t="s">
        <v>495</v>
      </c>
      <c r="B14" s="282" t="str">
        <f>ParametryZateplení!$E$5</f>
        <v>1946 až 1960</v>
      </c>
      <c r="C14" s="282">
        <v>3</v>
      </c>
      <c r="D14" s="282" t="s">
        <v>498</v>
      </c>
    </row>
    <row r="15" spans="1:16">
      <c r="A15" t="s">
        <v>495</v>
      </c>
      <c r="B15" s="282" t="str">
        <f>ParametryZateplení!$E$6</f>
        <v>1961 až 1980</v>
      </c>
      <c r="C15" s="282">
        <v>4</v>
      </c>
      <c r="D15" s="282" t="s">
        <v>499</v>
      </c>
      <c r="J15" s="82" t="s">
        <v>738</v>
      </c>
      <c r="K15" s="335" t="s">
        <v>553</v>
      </c>
      <c r="L15" s="335" t="s">
        <v>554</v>
      </c>
      <c r="M15" s="335" t="s">
        <v>555</v>
      </c>
      <c r="N15" s="335" t="s">
        <v>933</v>
      </c>
      <c r="O15" s="335" t="s">
        <v>902</v>
      </c>
      <c r="P15" s="335" t="s">
        <v>903</v>
      </c>
    </row>
    <row r="16" spans="1:16">
      <c r="A16" t="s">
        <v>495</v>
      </c>
      <c r="B16" s="282" t="str">
        <f>ParametryZateplení!$E$7</f>
        <v>1981 až 1994</v>
      </c>
      <c r="C16" s="282">
        <v>5</v>
      </c>
      <c r="D16" s="282" t="s">
        <v>500</v>
      </c>
      <c r="J16" t="s">
        <v>488</v>
      </c>
      <c r="K16">
        <f>SUMIFS(E$70:E$304,$B$70:$B$304,$O16,$C$70:$C$304,$P16,$I$70:$I$304,$J16)</f>
        <v>0</v>
      </c>
      <c r="L16">
        <f t="shared" ref="L16:L21" si="0">SUMIFS(F$70:F$304,$B$70:$B$304,$O16,$C$70:$C$304,$P16,$I$70:$I$304,$J16)</f>
        <v>0</v>
      </c>
      <c r="M16">
        <f t="shared" ref="M16:N21" si="1">SUMIFS(G$70:G$304,$B$70:$B$304,$O16,$C$70:$C$304,$P16,$I$70:$I$304,$J16)</f>
        <v>0</v>
      </c>
      <c r="N16">
        <f t="shared" si="1"/>
        <v>0</v>
      </c>
      <c r="O16">
        <f>Zateplení!$F$11</f>
        <v>0</v>
      </c>
      <c r="P16">
        <f>Zateplení!F26</f>
        <v>0</v>
      </c>
    </row>
    <row r="17" spans="1:16">
      <c r="A17" t="s">
        <v>495</v>
      </c>
      <c r="B17" s="282" t="str">
        <f>ParametryZateplení!$E$8</f>
        <v>1995 a dále</v>
      </c>
      <c r="C17" s="282">
        <v>6</v>
      </c>
      <c r="D17" s="282" t="s">
        <v>501</v>
      </c>
      <c r="J17" t="s">
        <v>739</v>
      </c>
      <c r="K17">
        <f t="shared" ref="K17:K21" si="2">SUMIFS(E$70:E$304,$B$70:$B$304,$O17,$C$70:$C$304,$P17,$I$70:$I$304,$J17)</f>
        <v>0</v>
      </c>
      <c r="L17">
        <f t="shared" si="0"/>
        <v>0</v>
      </c>
      <c r="M17">
        <f t="shared" si="1"/>
        <v>0</v>
      </c>
      <c r="N17">
        <f t="shared" si="1"/>
        <v>0</v>
      </c>
      <c r="O17">
        <f>Zateplení!$F$11</f>
        <v>0</v>
      </c>
      <c r="P17">
        <f>Zateplení!F29</f>
        <v>0</v>
      </c>
    </row>
    <row r="18" spans="1:16">
      <c r="A18" s="279" t="s">
        <v>502</v>
      </c>
      <c r="B18" s="280">
        <f>$C$1</f>
        <v>0</v>
      </c>
      <c r="C18" s="280">
        <f>$C$4</f>
        <v>0</v>
      </c>
      <c r="D18" s="280" t="e">
        <f>INDEX(D19:D24,C18)</f>
        <v>#VALUE!</v>
      </c>
      <c r="E18" s="281"/>
      <c r="F18" s="281"/>
      <c r="G18" s="281"/>
      <c r="H18" s="281"/>
      <c r="J18" t="s">
        <v>740</v>
      </c>
      <c r="K18">
        <f t="shared" si="2"/>
        <v>0</v>
      </c>
      <c r="L18">
        <f t="shared" si="0"/>
        <v>0</v>
      </c>
      <c r="M18">
        <f t="shared" si="1"/>
        <v>0</v>
      </c>
      <c r="N18">
        <f t="shared" si="1"/>
        <v>0</v>
      </c>
      <c r="O18">
        <f>Zateplení!$F$11</f>
        <v>0</v>
      </c>
      <c r="P18">
        <f>Zateplení!F32</f>
        <v>0</v>
      </c>
    </row>
    <row r="19" spans="1:16">
      <c r="A19" t="s">
        <v>502</v>
      </c>
      <c r="B19" s="282" t="str">
        <f>ParametryZateplení!$E$3</f>
        <v>do 1920</v>
      </c>
      <c r="C19" s="282">
        <v>1</v>
      </c>
      <c r="D19" s="282" t="s">
        <v>503</v>
      </c>
      <c r="J19" t="s">
        <v>523</v>
      </c>
      <c r="K19">
        <f t="shared" si="2"/>
        <v>0</v>
      </c>
      <c r="L19">
        <f t="shared" si="0"/>
        <v>0</v>
      </c>
      <c r="M19">
        <f t="shared" si="1"/>
        <v>0</v>
      </c>
      <c r="N19">
        <f t="shared" si="1"/>
        <v>0</v>
      </c>
      <c r="O19">
        <f>Zateplení!$F$11</f>
        <v>0</v>
      </c>
      <c r="P19">
        <f>Zateplení!F34</f>
        <v>0</v>
      </c>
    </row>
    <row r="20" spans="1:16">
      <c r="A20" t="s">
        <v>502</v>
      </c>
      <c r="B20" s="282" t="str">
        <f>ParametryZateplení!$E$4</f>
        <v>1921 až 1945</v>
      </c>
      <c r="C20" s="282">
        <v>2</v>
      </c>
      <c r="D20" s="282" t="s">
        <v>504</v>
      </c>
      <c r="J20" t="s">
        <v>741</v>
      </c>
      <c r="K20">
        <f t="shared" si="2"/>
        <v>0</v>
      </c>
      <c r="L20">
        <f t="shared" si="0"/>
        <v>0</v>
      </c>
      <c r="M20">
        <f t="shared" si="1"/>
        <v>0</v>
      </c>
      <c r="N20">
        <f t="shared" si="1"/>
        <v>0</v>
      </c>
      <c r="O20">
        <f>Zateplení!$F$11</f>
        <v>0</v>
      </c>
      <c r="P20">
        <f>Zateplení!F36</f>
        <v>0</v>
      </c>
    </row>
    <row r="21" spans="1:16">
      <c r="A21" t="s">
        <v>502</v>
      </c>
      <c r="B21" s="282" t="str">
        <f>ParametryZateplení!$E$5</f>
        <v>1946 až 1960</v>
      </c>
      <c r="C21" s="282">
        <v>3</v>
      </c>
      <c r="D21" s="282" t="s">
        <v>505</v>
      </c>
      <c r="J21" t="s">
        <v>742</v>
      </c>
      <c r="K21">
        <f t="shared" si="2"/>
        <v>0</v>
      </c>
      <c r="L21">
        <f t="shared" si="0"/>
        <v>0</v>
      </c>
      <c r="M21">
        <f t="shared" si="1"/>
        <v>0</v>
      </c>
      <c r="N21">
        <f t="shared" si="1"/>
        <v>0</v>
      </c>
      <c r="O21">
        <f>Zateplení!$F$11</f>
        <v>0</v>
      </c>
      <c r="P21">
        <f>Zateplení!F38</f>
        <v>0</v>
      </c>
    </row>
    <row r="22" spans="1:16">
      <c r="A22" t="s">
        <v>502</v>
      </c>
      <c r="B22" s="282" t="str">
        <f>ParametryZateplení!$E$6</f>
        <v>1961 až 1980</v>
      </c>
      <c r="C22" s="282">
        <v>4</v>
      </c>
      <c r="D22" s="282" t="s">
        <v>506</v>
      </c>
    </row>
    <row r="23" spans="1:16">
      <c r="A23" t="s">
        <v>502</v>
      </c>
      <c r="B23" s="282" t="str">
        <f>ParametryZateplení!$E$7</f>
        <v>1981 až 1994</v>
      </c>
      <c r="C23" s="282">
        <v>5</v>
      </c>
      <c r="D23" s="282" t="s">
        <v>507</v>
      </c>
    </row>
    <row r="24" spans="1:16">
      <c r="A24" t="s">
        <v>502</v>
      </c>
      <c r="B24" s="282" t="str">
        <f>ParametryZateplení!$E$8</f>
        <v>1995 a dále</v>
      </c>
      <c r="C24" s="282">
        <v>6</v>
      </c>
      <c r="D24" s="282" t="s">
        <v>508</v>
      </c>
    </row>
    <row r="25" spans="1:16">
      <c r="A25" s="279" t="s">
        <v>509</v>
      </c>
      <c r="B25" s="280">
        <f>$C$1</f>
        <v>0</v>
      </c>
      <c r="C25" s="280">
        <f>$C$4</f>
        <v>0</v>
      </c>
      <c r="D25" s="280" t="e">
        <f>INDEX(D26:D31,C25)</f>
        <v>#VALUE!</v>
      </c>
      <c r="E25" s="281"/>
      <c r="F25" s="281"/>
      <c r="G25" s="281"/>
      <c r="H25" s="281"/>
    </row>
    <row r="26" spans="1:16">
      <c r="A26" t="s">
        <v>509</v>
      </c>
      <c r="B26" s="282" t="str">
        <f>ParametryZateplení!$E$3</f>
        <v>do 1920</v>
      </c>
      <c r="C26" s="282">
        <v>1</v>
      </c>
      <c r="D26" s="282" t="s">
        <v>510</v>
      </c>
    </row>
    <row r="27" spans="1:16">
      <c r="A27" t="s">
        <v>509</v>
      </c>
      <c r="B27" s="282" t="str">
        <f>ParametryZateplení!$E$4</f>
        <v>1921 až 1945</v>
      </c>
      <c r="C27" s="282">
        <v>2</v>
      </c>
      <c r="D27" s="282" t="s">
        <v>511</v>
      </c>
    </row>
    <row r="28" spans="1:16">
      <c r="A28" t="s">
        <v>509</v>
      </c>
      <c r="B28" s="282" t="str">
        <f>ParametryZateplení!$E$5</f>
        <v>1946 až 1960</v>
      </c>
      <c r="C28" s="282">
        <v>3</v>
      </c>
      <c r="D28" s="282" t="s">
        <v>512</v>
      </c>
    </row>
    <row r="29" spans="1:16">
      <c r="A29" t="s">
        <v>509</v>
      </c>
      <c r="B29" s="282" t="str">
        <f>ParametryZateplení!$E$6</f>
        <v>1961 až 1980</v>
      </c>
      <c r="C29" s="282">
        <v>4</v>
      </c>
      <c r="D29" s="282" t="s">
        <v>513</v>
      </c>
    </row>
    <row r="30" spans="1:16">
      <c r="A30" t="s">
        <v>509</v>
      </c>
      <c r="B30" s="282" t="str">
        <f>ParametryZateplení!$E$7</f>
        <v>1981 až 1994</v>
      </c>
      <c r="C30" s="282">
        <v>5</v>
      </c>
      <c r="D30" s="282" t="s">
        <v>514</v>
      </c>
    </row>
    <row r="31" spans="1:16">
      <c r="A31" t="s">
        <v>509</v>
      </c>
      <c r="B31" s="282" t="str">
        <f>ParametryZateplení!$E$8</f>
        <v>1995 a dále</v>
      </c>
      <c r="C31" s="282">
        <v>6</v>
      </c>
      <c r="D31" s="282" t="s">
        <v>515</v>
      </c>
    </row>
    <row r="32" spans="1:16">
      <c r="A32" s="279" t="s">
        <v>516</v>
      </c>
      <c r="B32" s="280">
        <f>$C$1</f>
        <v>0</v>
      </c>
      <c r="C32" s="280">
        <f>$C$4</f>
        <v>0</v>
      </c>
      <c r="D32" s="280" t="e">
        <f>INDEX(D33:D38,C32)</f>
        <v>#VALUE!</v>
      </c>
      <c r="E32" s="281"/>
      <c r="F32" s="281"/>
      <c r="G32" s="281"/>
      <c r="H32" s="281"/>
    </row>
    <row r="33" spans="1:4">
      <c r="A33" t="s">
        <v>516</v>
      </c>
      <c r="B33" s="282" t="str">
        <f>ParametryZateplení!$E$3</f>
        <v>do 1920</v>
      </c>
      <c r="C33" s="282">
        <v>1</v>
      </c>
      <c r="D33" s="282" t="s">
        <v>517</v>
      </c>
    </row>
    <row r="34" spans="1:4">
      <c r="A34" t="s">
        <v>516</v>
      </c>
      <c r="B34" s="282" t="str">
        <f>ParametryZateplení!$E$4</f>
        <v>1921 až 1945</v>
      </c>
      <c r="C34" s="282">
        <v>2</v>
      </c>
      <c r="D34" s="282" t="s">
        <v>518</v>
      </c>
    </row>
    <row r="35" spans="1:4">
      <c r="A35" t="s">
        <v>516</v>
      </c>
      <c r="B35" s="282" t="str">
        <f>ParametryZateplení!$E$5</f>
        <v>1946 až 1960</v>
      </c>
      <c r="C35" s="282">
        <v>3</v>
      </c>
      <c r="D35" s="282" t="s">
        <v>519</v>
      </c>
    </row>
    <row r="36" spans="1:4">
      <c r="A36" t="s">
        <v>516</v>
      </c>
      <c r="B36" s="282" t="str">
        <f>ParametryZateplení!$E$6</f>
        <v>1961 až 1980</v>
      </c>
      <c r="C36" s="282">
        <v>4</v>
      </c>
      <c r="D36" s="282" t="s">
        <v>520</v>
      </c>
    </row>
    <row r="37" spans="1:4">
      <c r="A37" t="s">
        <v>516</v>
      </c>
      <c r="B37" s="282" t="str">
        <f>ParametryZateplení!$E$7</f>
        <v>1981 až 1994</v>
      </c>
      <c r="C37" s="282">
        <v>5</v>
      </c>
      <c r="D37" s="282" t="s">
        <v>521</v>
      </c>
    </row>
    <row r="38" spans="1:4">
      <c r="A38" t="s">
        <v>516</v>
      </c>
      <c r="B38" s="282" t="str">
        <f>ParametryZateplení!$E$8</f>
        <v>1995 a dále</v>
      </c>
      <c r="C38" s="282">
        <v>6</v>
      </c>
      <c r="D38" s="282" t="s">
        <v>522</v>
      </c>
    </row>
    <row r="39" spans="1:4">
      <c r="A39" s="279" t="s">
        <v>523</v>
      </c>
      <c r="B39" s="280">
        <f>$C$1</f>
        <v>0</v>
      </c>
      <c r="C39" s="280">
        <f>$C$4</f>
        <v>0</v>
      </c>
      <c r="D39" s="280" t="e">
        <f>INDEX(D40:D45,C39)</f>
        <v>#VALUE!</v>
      </c>
    </row>
    <row r="40" spans="1:4">
      <c r="A40" t="s">
        <v>523</v>
      </c>
      <c r="B40" s="282" t="str">
        <f>ParametryZateplení!$E$3</f>
        <v>do 1920</v>
      </c>
      <c r="C40" s="282">
        <v>1</v>
      </c>
      <c r="D40" s="282" t="s">
        <v>524</v>
      </c>
    </row>
    <row r="41" spans="1:4">
      <c r="A41" t="s">
        <v>523</v>
      </c>
      <c r="B41" s="282" t="str">
        <f>ParametryZateplení!$E$4</f>
        <v>1921 až 1945</v>
      </c>
      <c r="C41" s="282">
        <v>2</v>
      </c>
      <c r="D41" s="282" t="s">
        <v>525</v>
      </c>
    </row>
    <row r="42" spans="1:4">
      <c r="A42" t="s">
        <v>523</v>
      </c>
      <c r="B42" s="282" t="str">
        <f>ParametryZateplení!$E$5</f>
        <v>1946 až 1960</v>
      </c>
      <c r="C42" s="282">
        <v>3</v>
      </c>
      <c r="D42" s="282" t="s">
        <v>526</v>
      </c>
    </row>
    <row r="43" spans="1:4">
      <c r="A43" t="s">
        <v>523</v>
      </c>
      <c r="B43" s="282" t="str">
        <f>ParametryZateplení!$E$6</f>
        <v>1961 až 1980</v>
      </c>
      <c r="C43" s="282">
        <v>4</v>
      </c>
      <c r="D43" s="282" t="s">
        <v>527</v>
      </c>
    </row>
    <row r="44" spans="1:4">
      <c r="A44" t="s">
        <v>523</v>
      </c>
      <c r="B44" s="282" t="str">
        <f>ParametryZateplení!$E$7</f>
        <v>1981 až 1994</v>
      </c>
      <c r="C44" s="282">
        <v>5</v>
      </c>
      <c r="D44" s="282" t="s">
        <v>528</v>
      </c>
    </row>
    <row r="45" spans="1:4">
      <c r="A45" t="s">
        <v>523</v>
      </c>
      <c r="B45" s="282" t="str">
        <f>ParametryZateplení!$E$8</f>
        <v>1995 a dále</v>
      </c>
      <c r="C45" s="282">
        <v>6</v>
      </c>
      <c r="D45" s="282" t="s">
        <v>529</v>
      </c>
    </row>
    <row r="46" spans="1:4">
      <c r="A46" s="279" t="s">
        <v>530</v>
      </c>
      <c r="B46" s="280">
        <f>$C$1</f>
        <v>0</v>
      </c>
      <c r="C46" s="280">
        <f>$C$4</f>
        <v>0</v>
      </c>
      <c r="D46" s="280" t="e">
        <f>INDEX(D47:D52,C46)</f>
        <v>#VALUE!</v>
      </c>
    </row>
    <row r="47" spans="1:4">
      <c r="A47" t="s">
        <v>530</v>
      </c>
      <c r="B47" s="282" t="str">
        <f>ParametryZateplení!$E$3</f>
        <v>do 1920</v>
      </c>
      <c r="C47" s="282">
        <v>1</v>
      </c>
      <c r="D47" s="282" t="s">
        <v>531</v>
      </c>
    </row>
    <row r="48" spans="1:4">
      <c r="A48" t="s">
        <v>530</v>
      </c>
      <c r="B48" s="282" t="str">
        <f>ParametryZateplení!$E$4</f>
        <v>1921 až 1945</v>
      </c>
      <c r="C48" s="282">
        <v>2</v>
      </c>
      <c r="D48" s="282" t="s">
        <v>532</v>
      </c>
    </row>
    <row r="49" spans="1:4">
      <c r="A49" t="s">
        <v>530</v>
      </c>
      <c r="B49" s="282" t="str">
        <f>ParametryZateplení!$E$5</f>
        <v>1946 až 1960</v>
      </c>
      <c r="C49" s="282">
        <v>3</v>
      </c>
      <c r="D49" s="282" t="s">
        <v>533</v>
      </c>
    </row>
    <row r="50" spans="1:4">
      <c r="A50" t="s">
        <v>530</v>
      </c>
      <c r="B50" s="282" t="str">
        <f>ParametryZateplení!$E$6</f>
        <v>1961 až 1980</v>
      </c>
      <c r="C50" s="282">
        <v>4</v>
      </c>
      <c r="D50" s="282" t="s">
        <v>534</v>
      </c>
    </row>
    <row r="51" spans="1:4">
      <c r="A51" t="s">
        <v>530</v>
      </c>
      <c r="B51" s="282" t="str">
        <f>ParametryZateplení!$E$7</f>
        <v>1981 až 1994</v>
      </c>
      <c r="C51" s="282">
        <v>5</v>
      </c>
      <c r="D51" s="282" t="s">
        <v>535</v>
      </c>
    </row>
    <row r="52" spans="1:4">
      <c r="A52" t="s">
        <v>530</v>
      </c>
      <c r="B52" s="282" t="str">
        <f>ParametryZateplení!$E$8</f>
        <v>1995 a dále</v>
      </c>
      <c r="C52" s="282">
        <v>6</v>
      </c>
      <c r="D52" s="282" t="s">
        <v>536</v>
      </c>
    </row>
    <row r="53" spans="1:4">
      <c r="A53" s="279" t="s">
        <v>537</v>
      </c>
      <c r="B53" s="280">
        <f>$C$1</f>
        <v>0</v>
      </c>
      <c r="C53" s="280">
        <f>$C$4</f>
        <v>0</v>
      </c>
      <c r="D53" s="280" t="e">
        <f>INDEX(D54:D59,C53)</f>
        <v>#VALUE!</v>
      </c>
    </row>
    <row r="54" spans="1:4">
      <c r="A54" s="283" t="s">
        <v>537</v>
      </c>
      <c r="B54" s="282" t="str">
        <f>ParametryZateplení!$E$3</f>
        <v>do 1920</v>
      </c>
      <c r="C54" s="282">
        <v>1</v>
      </c>
      <c r="D54" s="282" t="s">
        <v>538</v>
      </c>
    </row>
    <row r="55" spans="1:4">
      <c r="A55" s="283" t="s">
        <v>537</v>
      </c>
      <c r="B55" s="282" t="str">
        <f>ParametryZateplení!$E$4</f>
        <v>1921 až 1945</v>
      </c>
      <c r="C55" s="282">
        <v>2</v>
      </c>
      <c r="D55" s="282" t="s">
        <v>539</v>
      </c>
    </row>
    <row r="56" spans="1:4">
      <c r="A56" s="283" t="s">
        <v>537</v>
      </c>
      <c r="B56" s="282" t="str">
        <f>ParametryZateplení!$E$5</f>
        <v>1946 až 1960</v>
      </c>
      <c r="C56" s="282">
        <v>3</v>
      </c>
      <c r="D56" s="282" t="s">
        <v>540</v>
      </c>
    </row>
    <row r="57" spans="1:4">
      <c r="A57" s="283" t="s">
        <v>537</v>
      </c>
      <c r="B57" s="282" t="str">
        <f>ParametryZateplení!$E$6</f>
        <v>1961 až 1980</v>
      </c>
      <c r="C57" s="282">
        <v>4</v>
      </c>
      <c r="D57" s="282" t="s">
        <v>541</v>
      </c>
    </row>
    <row r="58" spans="1:4">
      <c r="A58" s="283" t="s">
        <v>537</v>
      </c>
      <c r="B58" s="282" t="str">
        <f>ParametryZateplení!$E$7</f>
        <v>1981 až 1994</v>
      </c>
      <c r="C58" s="282">
        <v>5</v>
      </c>
      <c r="D58" s="282" t="s">
        <v>542</v>
      </c>
    </row>
    <row r="59" spans="1:4">
      <c r="A59" s="283" t="s">
        <v>537</v>
      </c>
      <c r="B59" s="282" t="str">
        <f>ParametryZateplení!$E$8</f>
        <v>1995 a dále</v>
      </c>
      <c r="C59" s="282">
        <v>6</v>
      </c>
      <c r="D59" s="282" t="s">
        <v>543</v>
      </c>
    </row>
    <row r="60" spans="1:4">
      <c r="A60" s="279" t="s">
        <v>544</v>
      </c>
      <c r="B60" s="280">
        <f>$C$1</f>
        <v>0</v>
      </c>
      <c r="C60" s="280">
        <f>$C$4</f>
        <v>0</v>
      </c>
      <c r="D60" s="280" t="e">
        <f>INDEX(D61:D66,C60)</f>
        <v>#VALUE!</v>
      </c>
    </row>
    <row r="61" spans="1:4">
      <c r="A61" s="283" t="s">
        <v>544</v>
      </c>
      <c r="B61" s="282" t="str">
        <f>ParametryZateplení!$E$3</f>
        <v>do 1920</v>
      </c>
      <c r="C61" s="282">
        <v>1</v>
      </c>
      <c r="D61" s="282" t="s">
        <v>545</v>
      </c>
    </row>
    <row r="62" spans="1:4">
      <c r="A62" s="283" t="s">
        <v>544</v>
      </c>
      <c r="B62" s="282" t="str">
        <f>ParametryZateplení!$E$4</f>
        <v>1921 až 1945</v>
      </c>
      <c r="C62" s="282">
        <v>2</v>
      </c>
      <c r="D62" s="282" t="s">
        <v>546</v>
      </c>
    </row>
    <row r="63" spans="1:4">
      <c r="A63" s="283" t="s">
        <v>544</v>
      </c>
      <c r="B63" s="282" t="str">
        <f>ParametryZateplení!$E$5</f>
        <v>1946 až 1960</v>
      </c>
      <c r="C63" s="282">
        <v>3</v>
      </c>
      <c r="D63" s="282" t="s">
        <v>547</v>
      </c>
    </row>
    <row r="64" spans="1:4">
      <c r="A64" s="283" t="s">
        <v>544</v>
      </c>
      <c r="B64" s="282" t="str">
        <f>ParametryZateplení!$E$6</f>
        <v>1961 až 1980</v>
      </c>
      <c r="C64" s="282">
        <v>4</v>
      </c>
      <c r="D64" s="282" t="s">
        <v>548</v>
      </c>
    </row>
    <row r="65" spans="1:9">
      <c r="A65" s="283" t="s">
        <v>544</v>
      </c>
      <c r="B65" s="282" t="str">
        <f>ParametryZateplení!$E$7</f>
        <v>1981 až 1994</v>
      </c>
      <c r="C65" s="282">
        <v>5</v>
      </c>
      <c r="D65" s="282" t="s">
        <v>549</v>
      </c>
    </row>
    <row r="66" spans="1:9">
      <c r="A66" s="283" t="s">
        <v>544</v>
      </c>
      <c r="B66" s="282" t="str">
        <f>ParametryZateplení!$E$8</f>
        <v>1995 a dále</v>
      </c>
      <c r="C66" s="282">
        <v>6</v>
      </c>
      <c r="D66" s="282" t="s">
        <v>550</v>
      </c>
    </row>
    <row r="68" spans="1:9">
      <c r="A68" s="284"/>
    </row>
    <row r="69" spans="1:9" ht="40.5">
      <c r="A69" s="285" t="s">
        <v>551</v>
      </c>
      <c r="B69" s="285" t="s">
        <v>227</v>
      </c>
      <c r="C69" s="286" t="s">
        <v>551</v>
      </c>
      <c r="D69" s="287" t="s">
        <v>552</v>
      </c>
      <c r="E69" s="285" t="s">
        <v>553</v>
      </c>
      <c r="F69" s="288" t="s">
        <v>554</v>
      </c>
      <c r="G69" s="288" t="s">
        <v>555</v>
      </c>
      <c r="H69" s="288" t="s">
        <v>933</v>
      </c>
      <c r="I69" s="288" t="s">
        <v>901</v>
      </c>
    </row>
    <row r="70" spans="1:9">
      <c r="A70" s="456" t="s">
        <v>488</v>
      </c>
      <c r="B70" s="285" t="str">
        <f>ParametryZateplení!$E$3</f>
        <v>do 1920</v>
      </c>
      <c r="C70" s="289" t="s">
        <v>556</v>
      </c>
      <c r="D70" s="287" t="str">
        <f>CONCATENATE(B70,"-",C70)</f>
        <v>do 1920-zdivo z cihel pálených plných tloušťky 450 mm</v>
      </c>
      <c r="E70" s="290">
        <v>1.4</v>
      </c>
      <c r="F70">
        <v>0.3</v>
      </c>
      <c r="G70">
        <v>0.25</v>
      </c>
      <c r="H70">
        <v>0.15</v>
      </c>
      <c r="I70" t="str">
        <f>$J$16</f>
        <v>stěny</v>
      </c>
    </row>
    <row r="71" spans="1:9">
      <c r="A71" s="456" t="s">
        <v>488</v>
      </c>
      <c r="B71" s="285" t="str">
        <f>ParametryZateplení!$E$4</f>
        <v>1921 až 1945</v>
      </c>
      <c r="C71" s="289" t="s">
        <v>556</v>
      </c>
      <c r="D71" s="287" t="str">
        <f t="shared" ref="D71:D134" si="3">CONCATENATE(B71,"-",C71)</f>
        <v>1921 až 1945-zdivo z cihel pálených plných tloušťky 450 mm</v>
      </c>
      <c r="E71" s="290">
        <v>1.4</v>
      </c>
      <c r="F71">
        <v>0.3</v>
      </c>
      <c r="G71">
        <v>0.25</v>
      </c>
      <c r="H71">
        <v>0.15</v>
      </c>
      <c r="I71" t="str">
        <f t="shared" ref="I71:I95" si="4">$J$16</f>
        <v>stěny</v>
      </c>
    </row>
    <row r="72" spans="1:9">
      <c r="A72" s="456" t="s">
        <v>488</v>
      </c>
      <c r="B72" s="285" t="str">
        <f>ParametryZateplení!$E$4</f>
        <v>1921 až 1945</v>
      </c>
      <c r="C72" s="289" t="s">
        <v>557</v>
      </c>
      <c r="D72" s="287" t="str">
        <f t="shared" si="3"/>
        <v>1921 až 1945-zdivo z děrovaných cihel a tvárnic tloušťky cca 300 mm</v>
      </c>
      <c r="E72" s="290">
        <v>1.3</v>
      </c>
      <c r="F72">
        <v>0.3</v>
      </c>
      <c r="G72">
        <v>0.25</v>
      </c>
      <c r="H72">
        <v>0.15</v>
      </c>
      <c r="I72" t="str">
        <f t="shared" si="4"/>
        <v>stěny</v>
      </c>
    </row>
    <row r="73" spans="1:9">
      <c r="A73" s="456" t="s">
        <v>488</v>
      </c>
      <c r="B73" s="285" t="str">
        <f>ParametryZateplení!$E$4</f>
        <v>1921 až 1945</v>
      </c>
      <c r="C73" s="289" t="s">
        <v>558</v>
      </c>
      <c r="D73" s="287" t="str">
        <f t="shared" si="3"/>
        <v>1921 až 1945-zdivo ze škvárobetonu tloušťky 250 mm až 300 mm</v>
      </c>
      <c r="E73" s="290">
        <v>1.2</v>
      </c>
      <c r="F73">
        <v>0.3</v>
      </c>
      <c r="G73">
        <v>0.25</v>
      </c>
      <c r="H73">
        <v>0.15</v>
      </c>
      <c r="I73" t="str">
        <f t="shared" si="4"/>
        <v>stěny</v>
      </c>
    </row>
    <row r="74" spans="1:9">
      <c r="A74" s="456" t="s">
        <v>488</v>
      </c>
      <c r="B74" s="285" t="str">
        <f>ParametryZateplení!$E$5</f>
        <v>1946 až 1960</v>
      </c>
      <c r="C74" s="289" t="s">
        <v>556</v>
      </c>
      <c r="D74" s="287" t="str">
        <f t="shared" si="3"/>
        <v>1946 až 1960-zdivo z cihel pálených plných tloušťky 450 mm</v>
      </c>
      <c r="E74" s="290">
        <v>1.4</v>
      </c>
      <c r="F74">
        <v>0.3</v>
      </c>
      <c r="G74">
        <v>0.25</v>
      </c>
      <c r="H74">
        <v>0.15</v>
      </c>
      <c r="I74" t="str">
        <f t="shared" si="4"/>
        <v>stěny</v>
      </c>
    </row>
    <row r="75" spans="1:9">
      <c r="A75" s="456" t="s">
        <v>488</v>
      </c>
      <c r="B75" s="285" t="str">
        <f>ParametryZateplení!$E$5</f>
        <v>1946 až 1960</v>
      </c>
      <c r="C75" s="289" t="s">
        <v>559</v>
      </c>
      <c r="D75" s="287" t="str">
        <f t="shared" si="3"/>
        <v>1946 až 1960-zdivo z děrovaných cihel a tvárnic</v>
      </c>
      <c r="E75" s="290">
        <v>1.3</v>
      </c>
      <c r="F75">
        <v>0.3</v>
      </c>
      <c r="G75">
        <v>0.25</v>
      </c>
      <c r="H75">
        <v>0.15</v>
      </c>
      <c r="I75" t="str">
        <f t="shared" si="4"/>
        <v>stěny</v>
      </c>
    </row>
    <row r="76" spans="1:9">
      <c r="A76" s="456" t="s">
        <v>488</v>
      </c>
      <c r="B76" s="285" t="str">
        <f>ParametryZateplení!$E$5</f>
        <v>1946 až 1960</v>
      </c>
      <c r="C76" s="289" t="s">
        <v>558</v>
      </c>
      <c r="D76" s="287" t="str">
        <f t="shared" si="3"/>
        <v>1946 až 1960-zdivo ze škvárobetonu tloušťky 250 mm až 300 mm</v>
      </c>
      <c r="E76" s="290">
        <v>1.2</v>
      </c>
      <c r="F76">
        <v>0.3</v>
      </c>
      <c r="G76">
        <v>0.25</v>
      </c>
      <c r="H76">
        <v>0.15</v>
      </c>
      <c r="I76" t="str">
        <f t="shared" si="4"/>
        <v>stěny</v>
      </c>
    </row>
    <row r="77" spans="1:9">
      <c r="A77" s="456" t="s">
        <v>488</v>
      </c>
      <c r="B77" s="285" t="str">
        <f>ParametryZateplení!$E$5</f>
        <v>1946 až 1960</v>
      </c>
      <c r="C77" s="289" t="s">
        <v>560</v>
      </c>
      <c r="D77" s="287" t="str">
        <f t="shared" si="3"/>
        <v>1946 až 1960-zdivo z lehkých betonů tloušťky cca 300 mm</v>
      </c>
      <c r="E77" s="290">
        <v>1.4</v>
      </c>
      <c r="F77">
        <v>0.3</v>
      </c>
      <c r="G77">
        <v>0.25</v>
      </c>
      <c r="H77">
        <v>0.15</v>
      </c>
      <c r="I77" t="str">
        <f t="shared" si="4"/>
        <v>stěny</v>
      </c>
    </row>
    <row r="78" spans="1:9">
      <c r="A78" s="456" t="s">
        <v>488</v>
      </c>
      <c r="B78" s="285" t="str">
        <f>ParametryZateplení!$E$6</f>
        <v>1961 až 1980</v>
      </c>
      <c r="C78" s="289" t="s">
        <v>557</v>
      </c>
      <c r="D78" s="287" t="str">
        <f t="shared" si="3"/>
        <v>1961 až 1980-zdivo z děrovaných cihel a tvárnic tloušťky cca 300 mm</v>
      </c>
      <c r="E78" s="290">
        <v>1.3</v>
      </c>
      <c r="F78">
        <v>0.3</v>
      </c>
      <c r="G78">
        <v>0.25</v>
      </c>
      <c r="H78">
        <v>0.15</v>
      </c>
      <c r="I78" t="str">
        <f t="shared" si="4"/>
        <v>stěny</v>
      </c>
    </row>
    <row r="79" spans="1:9">
      <c r="A79" s="456" t="s">
        <v>488</v>
      </c>
      <c r="B79" s="285" t="str">
        <f>ParametryZateplení!$E$6</f>
        <v>1961 až 1980</v>
      </c>
      <c r="C79" s="289" t="s">
        <v>558</v>
      </c>
      <c r="D79" s="287" t="str">
        <f t="shared" si="3"/>
        <v>1961 až 1980-zdivo ze škvárobetonu tloušťky 250 mm až 300 mm</v>
      </c>
      <c r="E79" s="290">
        <v>1.2</v>
      </c>
      <c r="F79">
        <v>0.3</v>
      </c>
      <c r="G79">
        <v>0.25</v>
      </c>
      <c r="H79">
        <v>0.15</v>
      </c>
      <c r="I79" t="str">
        <f t="shared" si="4"/>
        <v>stěny</v>
      </c>
    </row>
    <row r="80" spans="1:9">
      <c r="A80" s="456" t="s">
        <v>488</v>
      </c>
      <c r="B80" s="285" t="str">
        <f>ParametryZateplení!$E$6</f>
        <v>1961 až 1980</v>
      </c>
      <c r="C80" s="289" t="s">
        <v>560</v>
      </c>
      <c r="D80" s="287" t="str">
        <f t="shared" si="3"/>
        <v>1961 až 1980-zdivo z lehkých betonů tloušťky cca 300 mm</v>
      </c>
      <c r="E80" s="290">
        <v>1.4</v>
      </c>
      <c r="F80">
        <v>0.3</v>
      </c>
      <c r="G80">
        <v>0.25</v>
      </c>
      <c r="H80">
        <v>0.15</v>
      </c>
      <c r="I80" t="str">
        <f t="shared" si="4"/>
        <v>stěny</v>
      </c>
    </row>
    <row r="81" spans="1:9">
      <c r="A81" s="456" t="s">
        <v>488</v>
      </c>
      <c r="B81" s="285" t="str">
        <f>ParametryZateplení!$E$6</f>
        <v>1961 až 1980</v>
      </c>
      <c r="C81" s="289" t="s">
        <v>561</v>
      </c>
      <c r="D81" s="287" t="str">
        <f t="shared" si="3"/>
        <v>1961 až 1980-panel z lehkého betonu tloušťky 240 mm až 300 mm</v>
      </c>
      <c r="E81" s="290">
        <v>0.9</v>
      </c>
      <c r="F81">
        <v>0.3</v>
      </c>
      <c r="G81">
        <v>0.25</v>
      </c>
      <c r="H81">
        <v>0.15</v>
      </c>
      <c r="I81" t="str">
        <f t="shared" si="4"/>
        <v>stěny</v>
      </c>
    </row>
    <row r="82" spans="1:9">
      <c r="A82" s="456" t="s">
        <v>488</v>
      </c>
      <c r="B82" s="285" t="str">
        <f>ParametryZateplení!$E$6</f>
        <v>1961 až 1980</v>
      </c>
      <c r="C82" s="289" t="s">
        <v>562</v>
      </c>
      <c r="D82" s="287" t="str">
        <f t="shared" si="3"/>
        <v>1961 až 1980-zdivo z pórobetonu tloušťky cca 300 mm</v>
      </c>
      <c r="E82" s="290">
        <v>0.7</v>
      </c>
      <c r="F82">
        <v>0.3</v>
      </c>
      <c r="G82">
        <v>0.25</v>
      </c>
      <c r="H82">
        <v>0.15</v>
      </c>
      <c r="I82" t="str">
        <f t="shared" si="4"/>
        <v>stěny</v>
      </c>
    </row>
    <row r="83" spans="1:9">
      <c r="A83" s="456" t="s">
        <v>488</v>
      </c>
      <c r="B83" s="285" t="str">
        <f>ParametryZateplení!$E$6</f>
        <v>1961 až 1980</v>
      </c>
      <c r="C83" s="289" t="s">
        <v>563</v>
      </c>
      <c r="D83" s="287" t="str">
        <f t="shared" si="3"/>
        <v>1961 až 1980-keramický panel tloušťky 250 mm až 300 mm bez tep. izolace</v>
      </c>
      <c r="E83" s="290">
        <v>1.8</v>
      </c>
      <c r="F83">
        <v>0.3</v>
      </c>
      <c r="G83">
        <v>0.25</v>
      </c>
      <c r="H83">
        <v>0.15</v>
      </c>
      <c r="I83" t="str">
        <f t="shared" si="4"/>
        <v>stěny</v>
      </c>
    </row>
    <row r="84" spans="1:9">
      <c r="A84" s="456" t="s">
        <v>488</v>
      </c>
      <c r="B84" s="285" t="str">
        <f>ParametryZateplení!$E$6</f>
        <v>1961 až 1980</v>
      </c>
      <c r="C84" s="289" t="s">
        <v>564</v>
      </c>
      <c r="D84" s="287" t="str">
        <f>CONCATENATE(ZpůsobVýpočtu,"-",C84)</f>
        <v>0-kovoplastický panel (tzv. Boletický) tloušťky 120 mm</v>
      </c>
      <c r="E84" s="290">
        <v>1.1000000000000001</v>
      </c>
      <c r="F84">
        <v>0.3</v>
      </c>
      <c r="G84">
        <v>0.2</v>
      </c>
      <c r="H84">
        <v>0.15</v>
      </c>
      <c r="I84" t="str">
        <f t="shared" si="4"/>
        <v>stěny</v>
      </c>
    </row>
    <row r="85" spans="1:9">
      <c r="A85" s="456" t="s">
        <v>488</v>
      </c>
      <c r="B85" s="285" t="str">
        <f>ParametryZateplení!$E$6</f>
        <v>1961 až 1980</v>
      </c>
      <c r="C85" s="289" t="s">
        <v>565</v>
      </c>
      <c r="D85" s="287" t="str">
        <f t="shared" si="3"/>
        <v>1961 až 1980-železobetonový panel sendvičový tloušťky 190 až 240 mm</v>
      </c>
      <c r="E85" s="290">
        <v>1</v>
      </c>
      <c r="F85">
        <v>0.3</v>
      </c>
      <c r="G85">
        <v>0.25</v>
      </c>
      <c r="H85">
        <v>0.15</v>
      </c>
      <c r="I85" t="str">
        <f t="shared" si="4"/>
        <v>stěny</v>
      </c>
    </row>
    <row r="86" spans="1:9">
      <c r="A86" s="456" t="s">
        <v>488</v>
      </c>
      <c r="B86" s="285" t="str">
        <f>ParametryZateplení!$E$7</f>
        <v>1981 až 1994</v>
      </c>
      <c r="C86" s="289" t="s">
        <v>566</v>
      </c>
      <c r="D86" s="287" t="str">
        <f t="shared" si="3"/>
        <v>1981 až 1994-zdivo z pórobetonových tvárnic tloušťky 400 mm</v>
      </c>
      <c r="E86" s="290">
        <v>0.7</v>
      </c>
      <c r="F86">
        <v>0.3</v>
      </c>
      <c r="G86">
        <v>0.25</v>
      </c>
      <c r="H86">
        <v>0.15</v>
      </c>
      <c r="I86" t="str">
        <f t="shared" si="4"/>
        <v>stěny</v>
      </c>
    </row>
    <row r="87" spans="1:9">
      <c r="A87" s="456" t="s">
        <v>488</v>
      </c>
      <c r="B87" s="285" t="str">
        <f>ParametryZateplení!$E$7</f>
        <v>1981 až 1994</v>
      </c>
      <c r="C87" s="289" t="s">
        <v>567</v>
      </c>
      <c r="D87" s="287" t="str">
        <f>CONCATENATE(Denostupně,"-",C87)</f>
        <v>-943,8-panel z lehkého betonu tloušťky cca 350 mm</v>
      </c>
      <c r="E87" s="290">
        <v>0.9</v>
      </c>
      <c r="F87">
        <v>0.3</v>
      </c>
      <c r="G87">
        <v>0.25</v>
      </c>
      <c r="H87">
        <v>0.15</v>
      </c>
      <c r="I87" t="str">
        <f t="shared" si="4"/>
        <v>stěny</v>
      </c>
    </row>
    <row r="88" spans="1:9">
      <c r="A88" s="456" t="s">
        <v>488</v>
      </c>
      <c r="B88" s="285" t="str">
        <f>ParametryZateplení!$E$7</f>
        <v>1981 až 1994</v>
      </c>
      <c r="C88" s="289" t="s">
        <v>568</v>
      </c>
      <c r="D88" s="287" t="str">
        <f t="shared" si="3"/>
        <v>1981 až 1994-keramický panel tloušťky 300 mm s tepelnou izolací</v>
      </c>
      <c r="E88" s="290">
        <v>0.8</v>
      </c>
      <c r="F88">
        <v>0.3</v>
      </c>
      <c r="G88">
        <v>0.25</v>
      </c>
      <c r="H88">
        <v>0.15</v>
      </c>
      <c r="I88" t="str">
        <f t="shared" si="4"/>
        <v>stěny</v>
      </c>
    </row>
    <row r="89" spans="1:9">
      <c r="A89" s="456" t="s">
        <v>488</v>
      </c>
      <c r="B89" s="285" t="str">
        <f>ParametryZateplení!$E$7</f>
        <v>1981 až 1994</v>
      </c>
      <c r="C89" s="289" t="s">
        <v>569</v>
      </c>
      <c r="D89" s="287" t="str">
        <f t="shared" si="3"/>
        <v>1981 až 1994-železobetonový panel sendvičový tloušťky cca 300 mm</v>
      </c>
      <c r="E89" s="290">
        <v>0.6</v>
      </c>
      <c r="F89">
        <v>0.3</v>
      </c>
      <c r="G89">
        <v>0.25</v>
      </c>
      <c r="H89">
        <v>0.15</v>
      </c>
      <c r="I89" t="str">
        <f t="shared" si="4"/>
        <v>stěny</v>
      </c>
    </row>
    <row r="90" spans="1:9">
      <c r="A90" s="456" t="s">
        <v>488</v>
      </c>
      <c r="B90" s="285" t="str">
        <f>ParametryZateplení!$E$8</f>
        <v>1995 a dále</v>
      </c>
      <c r="C90" s="289" t="s">
        <v>570</v>
      </c>
      <c r="D90" s="287" t="str">
        <f t="shared" si="3"/>
        <v>1995 a dále-stěna rekonstruovaný objekt (1995 - 2001)</v>
      </c>
      <c r="E90" s="290">
        <v>0.7</v>
      </c>
      <c r="F90">
        <v>0.3</v>
      </c>
      <c r="G90">
        <v>0.25</v>
      </c>
      <c r="H90">
        <v>0.15</v>
      </c>
      <c r="I90" t="str">
        <f t="shared" si="4"/>
        <v>stěny</v>
      </c>
    </row>
    <row r="91" spans="1:9">
      <c r="A91" s="456" t="s">
        <v>488</v>
      </c>
      <c r="B91" s="285" t="str">
        <f>ParametryZateplení!$E$8</f>
        <v>1995 a dále</v>
      </c>
      <c r="C91" s="289" t="s">
        <v>571</v>
      </c>
      <c r="D91" s="287" t="str">
        <f t="shared" si="3"/>
        <v>1995 a dále-nová stěna (1995 - 2001)</v>
      </c>
      <c r="E91" s="290">
        <v>0.33</v>
      </c>
      <c r="F91">
        <v>0.3</v>
      </c>
      <c r="G91">
        <v>0.25</v>
      </c>
      <c r="H91">
        <v>0.15</v>
      </c>
      <c r="I91" t="str">
        <f t="shared" si="4"/>
        <v>stěny</v>
      </c>
    </row>
    <row r="92" spans="1:9">
      <c r="A92" s="456" t="s">
        <v>488</v>
      </c>
      <c r="B92" s="285" t="str">
        <f>ParametryZateplení!$E$8</f>
        <v>1995 a dále</v>
      </c>
      <c r="C92" s="289" t="s">
        <v>572</v>
      </c>
      <c r="D92" s="287" t="str">
        <f t="shared" si="3"/>
        <v>1995 a dále-stěna lehká - nová od 2002</v>
      </c>
      <c r="E92" s="290">
        <v>0.3</v>
      </c>
      <c r="F92">
        <v>0.3</v>
      </c>
      <c r="G92">
        <v>0.2</v>
      </c>
      <c r="H92">
        <v>0.15</v>
      </c>
      <c r="I92" t="str">
        <f t="shared" si="4"/>
        <v>stěny</v>
      </c>
    </row>
    <row r="93" spans="1:9">
      <c r="A93" s="456" t="s">
        <v>488</v>
      </c>
      <c r="B93" s="285" t="str">
        <f>ParametryZateplení!$E$8</f>
        <v>1995 a dále</v>
      </c>
      <c r="C93" s="289" t="s">
        <v>573</v>
      </c>
      <c r="D93" s="287" t="str">
        <f t="shared" si="3"/>
        <v>1995 a dále-stěna těžká - nová od 2002</v>
      </c>
      <c r="E93" s="290">
        <v>0.38</v>
      </c>
      <c r="F93">
        <v>0.3</v>
      </c>
      <c r="G93">
        <v>0.25</v>
      </c>
      <c r="H93">
        <v>0.15</v>
      </c>
      <c r="I93" t="str">
        <f t="shared" si="4"/>
        <v>stěny</v>
      </c>
    </row>
    <row r="94" spans="1:9">
      <c r="A94" s="456" t="s">
        <v>488</v>
      </c>
      <c r="B94" s="285" t="str">
        <f>ParametryZateplení!$E$8</f>
        <v>1995 a dále</v>
      </c>
      <c r="C94" s="289" t="s">
        <v>573</v>
      </c>
      <c r="D94" s="287" t="str">
        <f>CONCATENATE(B94,"-",C94)</f>
        <v>1995 a dále-stěna těžká - nová od 2002</v>
      </c>
      <c r="E94" s="290">
        <v>0.38</v>
      </c>
      <c r="F94">
        <v>0.3</v>
      </c>
      <c r="G94">
        <v>0.25</v>
      </c>
      <c r="H94">
        <v>0.15</v>
      </c>
      <c r="I94" t="str">
        <f t="shared" si="4"/>
        <v>stěny</v>
      </c>
    </row>
    <row r="95" spans="1:9">
      <c r="A95" s="456" t="s">
        <v>488</v>
      </c>
      <c r="B95" s="285" t="str">
        <f>ParametryZateplení!$E$8</f>
        <v>1995 a dále</v>
      </c>
      <c r="C95" s="289" t="s">
        <v>574</v>
      </c>
      <c r="D95" s="287" t="str">
        <f>CONCATENATE(B95,"-",C95)</f>
        <v>1995 a dále-stěna nová od 2011</v>
      </c>
      <c r="E95" s="290">
        <v>0.3</v>
      </c>
      <c r="F95">
        <v>0.3</v>
      </c>
      <c r="G95">
        <v>0.25</v>
      </c>
      <c r="H95">
        <v>0.15</v>
      </c>
      <c r="I95" t="str">
        <f t="shared" si="4"/>
        <v>stěny</v>
      </c>
    </row>
    <row r="96" spans="1:9">
      <c r="A96" t="s">
        <v>495</v>
      </c>
      <c r="B96" s="291" t="str">
        <f>ParametryZateplení!$E$3</f>
        <v>do 1920</v>
      </c>
      <c r="C96" s="289" t="s">
        <v>575</v>
      </c>
      <c r="D96" s="287" t="str">
        <f t="shared" si="3"/>
        <v>do 1920-plochá jednoplášťová střecha s vrstvou škvárobetonu</v>
      </c>
      <c r="E96" s="290">
        <v>2</v>
      </c>
      <c r="F96">
        <v>0.24</v>
      </c>
      <c r="G96">
        <v>0.16</v>
      </c>
      <c r="H96">
        <v>0.11</v>
      </c>
      <c r="I96" t="str">
        <f>$J$17</f>
        <v>střecha</v>
      </c>
    </row>
    <row r="97" spans="1:9">
      <c r="A97" t="s">
        <v>495</v>
      </c>
      <c r="B97" s="285" t="str">
        <f>ParametryZateplení!$E$4</f>
        <v>1921 až 1945</v>
      </c>
      <c r="C97" s="289" t="s">
        <v>575</v>
      </c>
      <c r="D97" s="287" t="str">
        <f t="shared" si="3"/>
        <v>1921 až 1945-plochá jednoplášťová střecha s vrstvou škvárobetonu</v>
      </c>
      <c r="E97" s="290">
        <v>2</v>
      </c>
      <c r="F97">
        <v>0.24</v>
      </c>
      <c r="G97">
        <v>0.16</v>
      </c>
      <c r="H97">
        <v>0.11</v>
      </c>
      <c r="I97" t="str">
        <f t="shared" ref="I97:I141" si="5">$J$17</f>
        <v>střecha</v>
      </c>
    </row>
    <row r="98" spans="1:9">
      <c r="A98" t="s">
        <v>495</v>
      </c>
      <c r="B98" s="285" t="str">
        <f>ParametryZateplení!$E$4</f>
        <v>1921 až 1945</v>
      </c>
      <c r="C98" s="289" t="s">
        <v>576</v>
      </c>
      <c r="D98" s="287" t="str">
        <f t="shared" si="3"/>
        <v>1921 až 1945-plochá jednoplášťová střecha s tepelnou izolací z dutých cihel</v>
      </c>
      <c r="E98" s="290">
        <v>1.4</v>
      </c>
      <c r="F98">
        <v>0.24</v>
      </c>
      <c r="G98">
        <v>0.16</v>
      </c>
      <c r="H98">
        <v>0.11</v>
      </c>
      <c r="I98" t="str">
        <f t="shared" si="5"/>
        <v>střecha</v>
      </c>
    </row>
    <row r="99" spans="1:9">
      <c r="A99" t="s">
        <v>495</v>
      </c>
      <c r="B99" s="285" t="str">
        <f>ParametryZateplení!$E$4</f>
        <v>1921 až 1945</v>
      </c>
      <c r="C99" s="289" t="s">
        <v>577</v>
      </c>
      <c r="D99" s="287" t="str">
        <f t="shared" si="3"/>
        <v>1921 až 1945-plochá dvouplášťová střecha s násypem</v>
      </c>
      <c r="E99" s="290">
        <v>1.2</v>
      </c>
      <c r="F99">
        <v>0.24</v>
      </c>
      <c r="G99">
        <v>0.16</v>
      </c>
      <c r="H99">
        <v>0.11</v>
      </c>
      <c r="I99" t="str">
        <f t="shared" si="5"/>
        <v>střecha</v>
      </c>
    </row>
    <row r="100" spans="1:9">
      <c r="A100" t="s">
        <v>495</v>
      </c>
      <c r="B100" s="285" t="str">
        <f>ParametryZateplení!$E$5</f>
        <v>1946 až 1960</v>
      </c>
      <c r="C100" s="289" t="s">
        <v>578</v>
      </c>
      <c r="D100" s="287" t="str">
        <f t="shared" si="3"/>
        <v>1946 až 1960-plochá jednoplášťová střecha s pěnobetonem a heraklitem</v>
      </c>
      <c r="E100" s="290">
        <v>0.9</v>
      </c>
      <c r="F100">
        <v>0.24</v>
      </c>
      <c r="G100">
        <v>0.16</v>
      </c>
      <c r="H100">
        <v>0.11</v>
      </c>
      <c r="I100" t="str">
        <f t="shared" si="5"/>
        <v>střecha</v>
      </c>
    </row>
    <row r="101" spans="1:9">
      <c r="A101" t="s">
        <v>495</v>
      </c>
      <c r="B101" s="292" t="str">
        <f>ParametryZateplení!$E$6</f>
        <v>1961 až 1980</v>
      </c>
      <c r="C101" s="289" t="s">
        <v>579</v>
      </c>
      <c r="D101" s="287" t="str">
        <f t="shared" si="3"/>
        <v>1961 až 1980-plochá jednoplášťová střecha s tepelnou izolací z plynosilikátových desek nebo pěnoskla</v>
      </c>
      <c r="E101" s="290">
        <v>0.7</v>
      </c>
      <c r="F101">
        <v>0.24</v>
      </c>
      <c r="G101">
        <v>0.16</v>
      </c>
      <c r="H101">
        <v>0.11</v>
      </c>
      <c r="I101" t="str">
        <f t="shared" si="5"/>
        <v>střecha</v>
      </c>
    </row>
    <row r="102" spans="1:9">
      <c r="A102" t="s">
        <v>495</v>
      </c>
      <c r="B102" s="292" t="str">
        <f>ParametryZateplení!$E$6</f>
        <v>1961 až 1980</v>
      </c>
      <c r="C102" s="289" t="s">
        <v>580</v>
      </c>
      <c r="D102" s="287" t="str">
        <f t="shared" si="3"/>
        <v>1961 až 1980-plochá jednoplášťová střecha s tepelnou izolací z polystyrénu tl. 50 mm</v>
      </c>
      <c r="E102" s="290">
        <v>0.6</v>
      </c>
      <c r="F102">
        <v>0.24</v>
      </c>
      <c r="G102">
        <v>0.16</v>
      </c>
      <c r="H102">
        <v>0.11</v>
      </c>
      <c r="I102" t="str">
        <f t="shared" si="5"/>
        <v>střecha</v>
      </c>
    </row>
    <row r="103" spans="1:9">
      <c r="A103" t="s">
        <v>495</v>
      </c>
      <c r="B103" s="292" t="str">
        <f>ParametryZateplení!$E$6</f>
        <v>1961 až 1980</v>
      </c>
      <c r="C103" s="289" t="s">
        <v>581</v>
      </c>
      <c r="D103" s="287" t="str">
        <f t="shared" si="3"/>
        <v>1961 až 1980-plochá dvouplášťová střecha s tepelnou izolací s minerálních vláken tloušťky 60 až 80 mm</v>
      </c>
      <c r="E103" s="290">
        <v>0.7</v>
      </c>
      <c r="F103">
        <v>0.24</v>
      </c>
      <c r="G103">
        <v>0.16</v>
      </c>
      <c r="H103">
        <v>0.11</v>
      </c>
      <c r="I103" t="str">
        <f t="shared" si="5"/>
        <v>střecha</v>
      </c>
    </row>
    <row r="104" spans="1:9">
      <c r="A104" t="s">
        <v>495</v>
      </c>
      <c r="B104" s="285" t="str">
        <f>ParametryZateplení!$E$7</f>
        <v>1981 až 1994</v>
      </c>
      <c r="C104" s="289" t="s">
        <v>582</v>
      </c>
      <c r="D104" s="287" t="str">
        <f t="shared" si="3"/>
        <v>1981 až 1994-plochá jednoplášťová střecha s tepelnou izolací z polystyrénu tl. 100 mm</v>
      </c>
      <c r="E104" s="290">
        <v>0.4</v>
      </c>
      <c r="F104">
        <v>0.24</v>
      </c>
      <c r="G104">
        <v>0.16</v>
      </c>
      <c r="H104">
        <v>0.11</v>
      </c>
      <c r="I104" t="str">
        <f t="shared" si="5"/>
        <v>střecha</v>
      </c>
    </row>
    <row r="105" spans="1:9">
      <c r="A105" t="s">
        <v>495</v>
      </c>
      <c r="B105" s="285" t="str">
        <f>ParametryZateplení!$E$7</f>
        <v>1981 až 1994</v>
      </c>
      <c r="C105" s="289" t="s">
        <v>583</v>
      </c>
      <c r="D105" s="287" t="str">
        <f t="shared" si="3"/>
        <v>1981 až 1994-plochá dvouplášťová střecha s tepelnou izolací s minerálních vláken tloušťky 120 mm</v>
      </c>
      <c r="E105" s="290">
        <v>0.4</v>
      </c>
      <c r="F105">
        <v>0.24</v>
      </c>
      <c r="G105">
        <v>0.16</v>
      </c>
      <c r="H105">
        <v>0.11</v>
      </c>
      <c r="I105" t="str">
        <f t="shared" si="5"/>
        <v>střecha</v>
      </c>
    </row>
    <row r="106" spans="1:9">
      <c r="A106" t="s">
        <v>495</v>
      </c>
      <c r="B106" s="285" t="str">
        <f>ParametryZateplení!$E$8</f>
        <v>1995 a dále</v>
      </c>
      <c r="C106" s="289" t="s">
        <v>584</v>
      </c>
      <c r="D106" s="287" t="str">
        <f t="shared" si="3"/>
        <v>1995 a dále-plochá střecha 1995-2002</v>
      </c>
      <c r="E106" s="293">
        <f>1/3</f>
        <v>0.33333333333333331</v>
      </c>
      <c r="F106">
        <v>0.24</v>
      </c>
      <c r="G106">
        <v>0.16</v>
      </c>
      <c r="H106">
        <v>0.11</v>
      </c>
      <c r="I106" t="str">
        <f t="shared" si="5"/>
        <v>střecha</v>
      </c>
    </row>
    <row r="107" spans="1:9">
      <c r="A107" t="s">
        <v>495</v>
      </c>
      <c r="B107" s="285" t="str">
        <f>ParametryZateplení!$E$8</f>
        <v>1995 a dále</v>
      </c>
      <c r="C107" s="289" t="s">
        <v>585</v>
      </c>
      <c r="D107" s="287" t="str">
        <f t="shared" si="3"/>
        <v>1995 a dále-plochá střecha těžká po roce 2002</v>
      </c>
      <c r="E107" s="293">
        <v>0.3</v>
      </c>
      <c r="F107">
        <v>0.24</v>
      </c>
      <c r="G107">
        <v>0.16</v>
      </c>
      <c r="H107">
        <v>0.11</v>
      </c>
      <c r="I107" t="str">
        <f t="shared" si="5"/>
        <v>střecha</v>
      </c>
    </row>
    <row r="108" spans="1:9">
      <c r="A108" t="s">
        <v>495</v>
      </c>
      <c r="B108" s="285" t="str">
        <f>ParametryZateplení!$E$8</f>
        <v>1995 a dále</v>
      </c>
      <c r="C108" s="289" t="s">
        <v>586</v>
      </c>
      <c r="D108" s="287" t="str">
        <f t="shared" si="3"/>
        <v>1995 a dále-plochá střecha lehká po roce 2002</v>
      </c>
      <c r="E108" s="293">
        <v>0.24</v>
      </c>
      <c r="F108">
        <v>0.24</v>
      </c>
      <c r="G108">
        <v>0.16</v>
      </c>
      <c r="H108">
        <v>0.11</v>
      </c>
      <c r="I108" t="str">
        <f t="shared" si="5"/>
        <v>střecha</v>
      </c>
    </row>
    <row r="109" spans="1:9">
      <c r="A109" t="s">
        <v>495</v>
      </c>
      <c r="B109" s="285" t="str">
        <f>ParametryZateplení!$E$8</f>
        <v>1995 a dále</v>
      </c>
      <c r="C109" s="289" t="s">
        <v>587</v>
      </c>
      <c r="D109" s="287" t="str">
        <f t="shared" si="3"/>
        <v>1995 a dále-plochá střecha po roce 2002</v>
      </c>
      <c r="E109" s="293">
        <v>0.24</v>
      </c>
      <c r="F109">
        <v>0.24</v>
      </c>
      <c r="G109">
        <v>0.16</v>
      </c>
      <c r="H109">
        <v>0.11</v>
      </c>
      <c r="I109" t="str">
        <f t="shared" si="5"/>
        <v>střecha</v>
      </c>
    </row>
    <row r="110" spans="1:9">
      <c r="A110" t="s">
        <v>495</v>
      </c>
      <c r="B110" s="285" t="str">
        <f>ParametryZateplení!$E$8</f>
        <v>1995 a dále</v>
      </c>
      <c r="C110" s="289" t="s">
        <v>588</v>
      </c>
      <c r="D110" s="287" t="str">
        <f t="shared" si="3"/>
        <v>1995 a dále-plochá střecha po roce 2007</v>
      </c>
      <c r="E110" s="293">
        <v>0.24</v>
      </c>
      <c r="F110">
        <v>0.24</v>
      </c>
      <c r="G110">
        <v>0.16</v>
      </c>
      <c r="H110">
        <v>0.11</v>
      </c>
      <c r="I110" t="str">
        <f t="shared" si="5"/>
        <v>střecha</v>
      </c>
    </row>
    <row r="111" spans="1:9">
      <c r="A111" t="s">
        <v>502</v>
      </c>
      <c r="B111" s="294" t="str">
        <f>ParametryZateplení!$E$3</f>
        <v>do 1920</v>
      </c>
      <c r="C111" s="289" t="s">
        <v>589</v>
      </c>
      <c r="D111" s="295" t="str">
        <f t="shared" si="3"/>
        <v>do 1920-šikmá střecha nezateplená</v>
      </c>
      <c r="E111" s="296">
        <v>4</v>
      </c>
      <c r="F111">
        <v>0.24</v>
      </c>
      <c r="G111">
        <v>0.16</v>
      </c>
      <c r="H111">
        <v>0.15</v>
      </c>
      <c r="I111" t="str">
        <f t="shared" si="5"/>
        <v>střecha</v>
      </c>
    </row>
    <row r="112" spans="1:9">
      <c r="A112" t="s">
        <v>502</v>
      </c>
      <c r="B112" s="294" t="str">
        <f>ParametryZateplení!$E$4</f>
        <v>1921 až 1945</v>
      </c>
      <c r="C112" s="289" t="s">
        <v>589</v>
      </c>
      <c r="D112" s="295" t="str">
        <f t="shared" si="3"/>
        <v>1921 až 1945-šikmá střecha nezateplená</v>
      </c>
      <c r="E112" s="296">
        <v>4</v>
      </c>
      <c r="F112">
        <v>0.24</v>
      </c>
      <c r="G112">
        <v>0.16</v>
      </c>
      <c r="H112">
        <v>0.15</v>
      </c>
      <c r="I112" t="str">
        <f t="shared" si="5"/>
        <v>střecha</v>
      </c>
    </row>
    <row r="113" spans="1:9">
      <c r="A113" t="s">
        <v>502</v>
      </c>
      <c r="B113" s="294" t="str">
        <f>ParametryZateplení!$E$5</f>
        <v>1946 až 1960</v>
      </c>
      <c r="C113" s="289" t="s">
        <v>589</v>
      </c>
      <c r="D113" s="295" t="str">
        <f t="shared" si="3"/>
        <v>1946 až 1960-šikmá střecha nezateplená</v>
      </c>
      <c r="E113" s="296">
        <v>4</v>
      </c>
      <c r="F113">
        <v>0.24</v>
      </c>
      <c r="G113">
        <v>0.16</v>
      </c>
      <c r="H113">
        <v>0.15</v>
      </c>
      <c r="I113" t="str">
        <f t="shared" si="5"/>
        <v>střecha</v>
      </c>
    </row>
    <row r="114" spans="1:9">
      <c r="A114" t="s">
        <v>502</v>
      </c>
      <c r="B114" s="297" t="str">
        <f>ParametryZateplení!$E$6</f>
        <v>1961 až 1980</v>
      </c>
      <c r="C114" s="289" t="s">
        <v>590</v>
      </c>
      <c r="D114" s="295" t="str">
        <f t="shared" si="3"/>
        <v>1961 až 1980-šikmá střecha zateplená</v>
      </c>
      <c r="E114" s="298">
        <f>1/(0.05/0.065+0.1*2)</f>
        <v>1.0317460317460316</v>
      </c>
      <c r="F114">
        <v>0.24</v>
      </c>
      <c r="G114">
        <v>0.16</v>
      </c>
      <c r="H114">
        <v>0.15</v>
      </c>
      <c r="I114" t="str">
        <f t="shared" si="5"/>
        <v>střecha</v>
      </c>
    </row>
    <row r="115" spans="1:9">
      <c r="A115" t="s">
        <v>502</v>
      </c>
      <c r="B115" s="294" t="str">
        <f>ParametryZateplení!$E$7</f>
        <v>1981 až 1994</v>
      </c>
      <c r="C115" s="289" t="s">
        <v>590</v>
      </c>
      <c r="D115" s="295" t="str">
        <f t="shared" si="3"/>
        <v>1981 až 1994-šikmá střecha zateplená</v>
      </c>
      <c r="E115" s="298">
        <f>1/(0.08/0.065+0.1*2)</f>
        <v>0.69892473118279563</v>
      </c>
      <c r="F115">
        <v>0.24</v>
      </c>
      <c r="G115">
        <v>0.16</v>
      </c>
      <c r="H115">
        <v>0.15</v>
      </c>
      <c r="I115" t="str">
        <f t="shared" si="5"/>
        <v>střecha</v>
      </c>
    </row>
    <row r="116" spans="1:9">
      <c r="A116" t="s">
        <v>502</v>
      </c>
      <c r="B116" s="294" t="str">
        <f>ParametryZateplení!$E$8</f>
        <v>1995 a dále</v>
      </c>
      <c r="C116" s="289" t="s">
        <v>591</v>
      </c>
      <c r="D116" s="295" t="str">
        <f t="shared" si="3"/>
        <v>1995 a dále-šikmá střecha realizace 1995-2002</v>
      </c>
      <c r="E116" s="299">
        <f>1/3</f>
        <v>0.33333333333333331</v>
      </c>
      <c r="F116">
        <v>0.24</v>
      </c>
      <c r="G116">
        <v>0.16</v>
      </c>
      <c r="H116">
        <v>0.15</v>
      </c>
      <c r="I116" t="str">
        <f t="shared" si="5"/>
        <v>střecha</v>
      </c>
    </row>
    <row r="117" spans="1:9">
      <c r="A117" t="s">
        <v>502</v>
      </c>
      <c r="B117" s="294" t="str">
        <f>ParametryZateplení!$E$8</f>
        <v>1995 a dále</v>
      </c>
      <c r="C117" s="289" t="s">
        <v>592</v>
      </c>
      <c r="D117" s="295" t="str">
        <f t="shared" si="3"/>
        <v>1995 a dále-šikmá střecha po roce 2002</v>
      </c>
      <c r="E117" s="299">
        <v>0.24</v>
      </c>
      <c r="F117">
        <v>0.24</v>
      </c>
      <c r="G117">
        <v>0.16</v>
      </c>
      <c r="H117">
        <v>0.15</v>
      </c>
      <c r="I117" t="str">
        <f t="shared" si="5"/>
        <v>střecha</v>
      </c>
    </row>
    <row r="118" spans="1:9">
      <c r="A118" t="s">
        <v>509</v>
      </c>
      <c r="B118" s="300" t="str">
        <f>ParametryZateplení!$E$3</f>
        <v>do 1920</v>
      </c>
      <c r="C118" s="289" t="s">
        <v>593</v>
      </c>
      <c r="D118" s="295" t="str">
        <f t="shared" si="3"/>
        <v>do 1920-stropy dřevěné trámové pod půdou s násypem škváry</v>
      </c>
      <c r="E118" s="296">
        <v>1.6</v>
      </c>
      <c r="F118">
        <v>0.3</v>
      </c>
      <c r="G118">
        <v>0.2</v>
      </c>
      <c r="H118">
        <v>0.15</v>
      </c>
      <c r="I118" t="str">
        <f t="shared" si="5"/>
        <v>střecha</v>
      </c>
    </row>
    <row r="119" spans="1:9">
      <c r="A119" t="s">
        <v>509</v>
      </c>
      <c r="B119" s="300" t="str">
        <f>ParametryZateplení!$E$3</f>
        <v>do 1920</v>
      </c>
      <c r="C119" s="289" t="s">
        <v>594</v>
      </c>
      <c r="D119" s="295" t="str">
        <f t="shared" si="3"/>
        <v>do 1920-stropy keramické do ocelových nosníků pod půdou s násypem škváry</v>
      </c>
      <c r="E119" s="296">
        <v>1</v>
      </c>
      <c r="F119">
        <v>0.3</v>
      </c>
      <c r="G119">
        <v>0.2</v>
      </c>
      <c r="H119">
        <v>0.12</v>
      </c>
      <c r="I119" t="str">
        <f t="shared" si="5"/>
        <v>střecha</v>
      </c>
    </row>
    <row r="120" spans="1:9">
      <c r="A120" t="s">
        <v>509</v>
      </c>
      <c r="B120" s="294" t="str">
        <f>ParametryZateplení!$E$4</f>
        <v>1921 až 1945</v>
      </c>
      <c r="C120" s="289" t="s">
        <v>593</v>
      </c>
      <c r="D120" s="295" t="str">
        <f t="shared" si="3"/>
        <v>1921 až 1945-stropy dřevěné trámové pod půdou s násypem škváry</v>
      </c>
      <c r="E120" s="296">
        <v>1.6</v>
      </c>
      <c r="F120">
        <v>0.3</v>
      </c>
      <c r="G120">
        <v>0.2</v>
      </c>
      <c r="H120">
        <v>0.12</v>
      </c>
      <c r="I120" t="str">
        <f t="shared" si="5"/>
        <v>střecha</v>
      </c>
    </row>
    <row r="121" spans="1:9">
      <c r="A121" t="s">
        <v>509</v>
      </c>
      <c r="B121" s="294" t="str">
        <f>ParametryZateplení!$E$4</f>
        <v>1921 až 1945</v>
      </c>
      <c r="C121" s="289" t="s">
        <v>594</v>
      </c>
      <c r="D121" s="295" t="str">
        <f t="shared" si="3"/>
        <v>1921 až 1945-stropy keramické do ocelových nosníků pod půdou s násypem škváry</v>
      </c>
      <c r="E121" s="296">
        <v>2.2000000000000002</v>
      </c>
      <c r="F121">
        <v>0.3</v>
      </c>
      <c r="G121">
        <v>0.2</v>
      </c>
      <c r="H121">
        <v>0.12</v>
      </c>
      <c r="I121" t="str">
        <f t="shared" si="5"/>
        <v>střecha</v>
      </c>
    </row>
    <row r="122" spans="1:9">
      <c r="A122" t="s">
        <v>509</v>
      </c>
      <c r="B122" s="294" t="str">
        <f>ParametryZateplení!$E$4</f>
        <v>1921 až 1945</v>
      </c>
      <c r="C122" s="289" t="s">
        <v>595</v>
      </c>
      <c r="D122" s="295" t="str">
        <f t="shared" si="3"/>
        <v>1921 až 1945-stropy železobetonové pod půdou s násypem a potěrem</v>
      </c>
      <c r="E122" s="296">
        <v>1</v>
      </c>
      <c r="F122">
        <v>0.3</v>
      </c>
      <c r="G122">
        <v>0.2</v>
      </c>
      <c r="H122">
        <v>0.12</v>
      </c>
      <c r="I122" t="str">
        <f t="shared" si="5"/>
        <v>střecha</v>
      </c>
    </row>
    <row r="123" spans="1:9">
      <c r="A123" t="s">
        <v>509</v>
      </c>
      <c r="B123" s="294" t="str">
        <f>ParametryZateplení!$E$5</f>
        <v>1946 až 1960</v>
      </c>
      <c r="C123" s="289" t="s">
        <v>593</v>
      </c>
      <c r="D123" s="295" t="str">
        <f t="shared" si="3"/>
        <v>1946 až 1960-stropy dřevěné trámové pod půdou s násypem škváry</v>
      </c>
      <c r="E123" s="296">
        <v>1.6</v>
      </c>
      <c r="F123">
        <v>0.3</v>
      </c>
      <c r="G123">
        <v>0.2</v>
      </c>
      <c r="H123">
        <v>0.12</v>
      </c>
      <c r="I123" t="str">
        <f t="shared" si="5"/>
        <v>střecha</v>
      </c>
    </row>
    <row r="124" spans="1:9">
      <c r="A124" t="s">
        <v>509</v>
      </c>
      <c r="B124" s="294" t="str">
        <f>ParametryZateplení!$E$5</f>
        <v>1946 až 1960</v>
      </c>
      <c r="C124" s="289" t="s">
        <v>594</v>
      </c>
      <c r="D124" s="295" t="str">
        <f t="shared" si="3"/>
        <v>1946 až 1960-stropy keramické do ocelových nosníků pod půdou s násypem škváry</v>
      </c>
      <c r="E124" s="296">
        <v>2.2000000000000002</v>
      </c>
      <c r="F124">
        <v>0.3</v>
      </c>
      <c r="G124">
        <v>0.2</v>
      </c>
      <c r="H124">
        <v>0.12</v>
      </c>
      <c r="I124" t="str">
        <f t="shared" si="5"/>
        <v>střecha</v>
      </c>
    </row>
    <row r="125" spans="1:9">
      <c r="A125" t="s">
        <v>509</v>
      </c>
      <c r="B125" s="294" t="str">
        <f>ParametryZateplení!$E$5</f>
        <v>1946 až 1960</v>
      </c>
      <c r="C125" s="289" t="s">
        <v>595</v>
      </c>
      <c r="D125" s="295" t="str">
        <f t="shared" si="3"/>
        <v>1946 až 1960-stropy železobetonové pod půdou s násypem a potěrem</v>
      </c>
      <c r="E125" s="296">
        <v>2.6</v>
      </c>
      <c r="F125">
        <v>0.3</v>
      </c>
      <c r="G125">
        <v>0.2</v>
      </c>
      <c r="H125">
        <v>0.12</v>
      </c>
      <c r="I125" t="str">
        <f t="shared" si="5"/>
        <v>střecha</v>
      </c>
    </row>
    <row r="126" spans="1:9">
      <c r="A126" t="s">
        <v>509</v>
      </c>
      <c r="B126" s="294" t="str">
        <f>ParametryZateplení!$E$5</f>
        <v>1946 až 1960</v>
      </c>
      <c r="C126" s="289" t="s">
        <v>596</v>
      </c>
      <c r="D126" s="295" t="str">
        <f t="shared" si="3"/>
        <v>1946 až 1960-stropy železobetonové pod půdou s vrstvou lehkého betonu</v>
      </c>
      <c r="E126" s="296">
        <v>1</v>
      </c>
      <c r="F126">
        <v>0.3</v>
      </c>
      <c r="G126">
        <v>0.2</v>
      </c>
      <c r="H126">
        <v>0.12</v>
      </c>
      <c r="I126" t="str">
        <f t="shared" si="5"/>
        <v>střecha</v>
      </c>
    </row>
    <row r="127" spans="1:9">
      <c r="A127" t="s">
        <v>509</v>
      </c>
      <c r="B127" s="294" t="str">
        <f>ParametryZateplení!$E$6</f>
        <v>1961 až 1980</v>
      </c>
      <c r="C127" s="289" t="s">
        <v>593</v>
      </c>
      <c r="D127" s="295" t="str">
        <f t="shared" si="3"/>
        <v>1961 až 1980-stropy dřevěné trámové pod půdou s násypem škváry</v>
      </c>
      <c r="E127" s="296">
        <v>1.6</v>
      </c>
      <c r="F127">
        <v>0.3</v>
      </c>
      <c r="G127">
        <v>0.2</v>
      </c>
      <c r="H127">
        <v>0.12</v>
      </c>
      <c r="I127" t="str">
        <f t="shared" si="5"/>
        <v>střecha</v>
      </c>
    </row>
    <row r="128" spans="1:9">
      <c r="A128" t="s">
        <v>509</v>
      </c>
      <c r="B128" s="294" t="str">
        <f>ParametryZateplení!$E$6</f>
        <v>1961 až 1980</v>
      </c>
      <c r="C128" s="289" t="s">
        <v>594</v>
      </c>
      <c r="D128" s="295" t="str">
        <f t="shared" si="3"/>
        <v>1961 až 1980-stropy keramické do ocelových nosníků pod půdou s násypem škváry</v>
      </c>
      <c r="E128" s="296">
        <v>2.2000000000000002</v>
      </c>
      <c r="F128">
        <v>0.3</v>
      </c>
      <c r="G128">
        <v>0.2</v>
      </c>
      <c r="H128">
        <v>0.12</v>
      </c>
      <c r="I128" t="str">
        <f t="shared" si="5"/>
        <v>střecha</v>
      </c>
    </row>
    <row r="129" spans="1:9">
      <c r="A129" t="s">
        <v>509</v>
      </c>
      <c r="B129" s="294" t="str">
        <f>ParametryZateplení!$E$6</f>
        <v>1961 až 1980</v>
      </c>
      <c r="C129" s="289" t="s">
        <v>595</v>
      </c>
      <c r="D129" s="295" t="str">
        <f t="shared" si="3"/>
        <v>1961 až 1980-stropy železobetonové pod půdou s násypem a potěrem</v>
      </c>
      <c r="E129" s="296">
        <v>2.6</v>
      </c>
      <c r="F129">
        <v>0.3</v>
      </c>
      <c r="G129">
        <v>0.2</v>
      </c>
      <c r="H129">
        <v>0.12</v>
      </c>
      <c r="I129" t="str">
        <f t="shared" si="5"/>
        <v>střecha</v>
      </c>
    </row>
    <row r="130" spans="1:9">
      <c r="A130" t="s">
        <v>509</v>
      </c>
      <c r="B130" s="294" t="str">
        <f>ParametryZateplení!$E$6</f>
        <v>1961 až 1980</v>
      </c>
      <c r="C130" s="289" t="s">
        <v>596</v>
      </c>
      <c r="D130" s="295" t="str">
        <f t="shared" si="3"/>
        <v>1961 až 1980-stropy železobetonové pod půdou s vrstvou lehkého betonu</v>
      </c>
      <c r="E130" s="296">
        <v>2.6</v>
      </c>
      <c r="F130">
        <v>0.3</v>
      </c>
      <c r="G130">
        <v>0.2</v>
      </c>
      <c r="H130">
        <v>0.12</v>
      </c>
      <c r="I130" t="str">
        <f t="shared" si="5"/>
        <v>střecha</v>
      </c>
    </row>
    <row r="131" spans="1:9">
      <c r="A131" t="s">
        <v>509</v>
      </c>
      <c r="B131" s="294" t="str">
        <f>ParametryZateplení!$E$6</f>
        <v>1961 až 1980</v>
      </c>
      <c r="C131" s="289" t="s">
        <v>597</v>
      </c>
      <c r="D131" s="295" t="str">
        <f t="shared" si="3"/>
        <v>1961 až 1980-stropy železobetonové panelové pod půdou s potěrem</v>
      </c>
      <c r="E131" s="296">
        <v>2</v>
      </c>
      <c r="F131">
        <v>0.3</v>
      </c>
      <c r="G131">
        <v>0.2</v>
      </c>
      <c r="H131">
        <v>0.12</v>
      </c>
      <c r="I131" t="str">
        <f t="shared" si="5"/>
        <v>střecha</v>
      </c>
    </row>
    <row r="132" spans="1:9">
      <c r="A132" t="s">
        <v>509</v>
      </c>
      <c r="B132" s="294" t="str">
        <f>ParametryZateplení!$E$6</f>
        <v>1961 až 1980</v>
      </c>
      <c r="C132" s="289" t="s">
        <v>598</v>
      </c>
      <c r="D132" s="295" t="str">
        <f t="shared" si="3"/>
        <v>1961 až 1980-stropy keramické z panelů a vložek pod půdou s potěrem</v>
      </c>
      <c r="E132" s="296">
        <v>1</v>
      </c>
      <c r="F132">
        <v>0.3</v>
      </c>
      <c r="G132">
        <v>0.2</v>
      </c>
      <c r="H132">
        <v>0.12</v>
      </c>
      <c r="I132" t="str">
        <f t="shared" si="5"/>
        <v>střecha</v>
      </c>
    </row>
    <row r="133" spans="1:9">
      <c r="A133" t="s">
        <v>509</v>
      </c>
      <c r="B133" s="294" t="str">
        <f>ParametryZateplení!$E$7</f>
        <v>1981 až 1994</v>
      </c>
      <c r="C133" s="289" t="s">
        <v>593</v>
      </c>
      <c r="D133" s="295" t="str">
        <f t="shared" si="3"/>
        <v>1981 až 1994-stropy dřevěné trámové pod půdou s násypem škváry</v>
      </c>
      <c r="E133" s="296">
        <v>1.6</v>
      </c>
      <c r="F133">
        <v>0.3</v>
      </c>
      <c r="G133">
        <v>0.2</v>
      </c>
      <c r="H133">
        <v>0.12</v>
      </c>
      <c r="I133" t="str">
        <f t="shared" si="5"/>
        <v>střecha</v>
      </c>
    </row>
    <row r="134" spans="1:9">
      <c r="A134" t="s">
        <v>509</v>
      </c>
      <c r="B134" s="294" t="str">
        <f>ParametryZateplení!$E$7</f>
        <v>1981 až 1994</v>
      </c>
      <c r="C134" s="289" t="s">
        <v>594</v>
      </c>
      <c r="D134" s="295" t="str">
        <f t="shared" si="3"/>
        <v>1981 až 1994-stropy keramické do ocelových nosníků pod půdou s násypem škváry</v>
      </c>
      <c r="E134" s="296">
        <v>2.2000000000000002</v>
      </c>
      <c r="F134">
        <v>0.3</v>
      </c>
      <c r="G134">
        <v>0.2</v>
      </c>
      <c r="H134">
        <v>0.12</v>
      </c>
      <c r="I134" t="str">
        <f t="shared" si="5"/>
        <v>střecha</v>
      </c>
    </row>
    <row r="135" spans="1:9">
      <c r="A135" t="s">
        <v>509</v>
      </c>
      <c r="B135" s="294" t="str">
        <f>ParametryZateplení!$E$7</f>
        <v>1981 až 1994</v>
      </c>
      <c r="C135" s="289" t="s">
        <v>595</v>
      </c>
      <c r="D135" s="295" t="str">
        <f t="shared" ref="D135:D208" si="6">CONCATENATE(B135,"-",C135)</f>
        <v>1981 až 1994-stropy železobetonové pod půdou s násypem a potěrem</v>
      </c>
      <c r="E135" s="296">
        <v>2.6</v>
      </c>
      <c r="F135">
        <v>0.3</v>
      </c>
      <c r="G135">
        <v>0.2</v>
      </c>
      <c r="H135">
        <v>0.12</v>
      </c>
      <c r="I135" t="str">
        <f t="shared" si="5"/>
        <v>střecha</v>
      </c>
    </row>
    <row r="136" spans="1:9">
      <c r="A136" t="s">
        <v>509</v>
      </c>
      <c r="B136" s="294" t="str">
        <f>ParametryZateplení!$E$7</f>
        <v>1981 až 1994</v>
      </c>
      <c r="C136" s="289" t="s">
        <v>596</v>
      </c>
      <c r="D136" s="295" t="str">
        <f t="shared" si="6"/>
        <v>1981 až 1994-stropy železobetonové pod půdou s vrstvou lehkého betonu</v>
      </c>
      <c r="E136" s="296">
        <v>2.6</v>
      </c>
      <c r="F136">
        <v>0.3</v>
      </c>
      <c r="G136">
        <v>0.2</v>
      </c>
      <c r="H136">
        <v>0.12</v>
      </c>
      <c r="I136" t="str">
        <f t="shared" si="5"/>
        <v>střecha</v>
      </c>
    </row>
    <row r="137" spans="1:9">
      <c r="A137" t="s">
        <v>509</v>
      </c>
      <c r="B137" s="294" t="str">
        <f>ParametryZateplení!$E$7</f>
        <v>1981 až 1994</v>
      </c>
      <c r="C137" s="289" t="s">
        <v>597</v>
      </c>
      <c r="D137" s="295" t="str">
        <f t="shared" si="6"/>
        <v>1981 až 1994-stropy železobetonové panelové pod půdou s potěrem</v>
      </c>
      <c r="E137" s="296">
        <v>2</v>
      </c>
      <c r="F137">
        <v>0.3</v>
      </c>
      <c r="G137">
        <v>0.2</v>
      </c>
      <c r="H137">
        <v>0.12</v>
      </c>
      <c r="I137" t="str">
        <f t="shared" si="5"/>
        <v>střecha</v>
      </c>
    </row>
    <row r="138" spans="1:9">
      <c r="A138" t="s">
        <v>509</v>
      </c>
      <c r="B138" s="294" t="str">
        <f>ParametryZateplení!$E$7</f>
        <v>1981 až 1994</v>
      </c>
      <c r="C138" s="289" t="s">
        <v>598</v>
      </c>
      <c r="D138" s="295" t="str">
        <f t="shared" si="6"/>
        <v>1981 až 1994-stropy keramické z panelů a vložek pod půdou s potěrem</v>
      </c>
      <c r="E138" s="296">
        <v>0.48</v>
      </c>
      <c r="F138">
        <v>0.3</v>
      </c>
      <c r="G138">
        <v>0.2</v>
      </c>
      <c r="H138">
        <v>0.12</v>
      </c>
      <c r="I138" t="str">
        <f t="shared" si="5"/>
        <v>střecha</v>
      </c>
    </row>
    <row r="139" spans="1:9">
      <c r="A139" t="s">
        <v>509</v>
      </c>
      <c r="B139" s="294" t="str">
        <f>ParametryZateplení!$E$8</f>
        <v>1995 a dále</v>
      </c>
      <c r="C139" s="289" t="s">
        <v>599</v>
      </c>
      <c r="D139" s="295" t="str">
        <f t="shared" si="6"/>
        <v>1995 a dále-strop pod půdou - 1995-2002 - přípustná</v>
      </c>
      <c r="E139" s="296">
        <v>0.31</v>
      </c>
      <c r="F139">
        <v>0.3</v>
      </c>
      <c r="G139">
        <v>0.2</v>
      </c>
      <c r="H139">
        <v>0.12</v>
      </c>
      <c r="I139" t="str">
        <f t="shared" si="5"/>
        <v>střecha</v>
      </c>
    </row>
    <row r="140" spans="1:9">
      <c r="A140" t="s">
        <v>509</v>
      </c>
      <c r="B140" s="294" t="str">
        <f>ParametryZateplení!$E$8</f>
        <v>1995 a dále</v>
      </c>
      <c r="C140" s="289" t="s">
        <v>600</v>
      </c>
      <c r="D140" s="295" t="str">
        <f t="shared" si="6"/>
        <v>1995 a dále-strop pod půdou - 1995-2002 - požadovaná</v>
      </c>
      <c r="E140" s="296">
        <v>0.22</v>
      </c>
      <c r="F140">
        <v>0.3</v>
      </c>
      <c r="G140">
        <v>0.2</v>
      </c>
      <c r="H140">
        <v>0.12</v>
      </c>
      <c r="I140" t="str">
        <f t="shared" si="5"/>
        <v>střecha</v>
      </c>
    </row>
    <row r="141" spans="1:9">
      <c r="A141" t="s">
        <v>509</v>
      </c>
      <c r="B141" s="294" t="str">
        <f>ParametryZateplení!$E$8</f>
        <v>1995 a dále</v>
      </c>
      <c r="C141" s="289" t="s">
        <v>601</v>
      </c>
      <c r="D141" s="295" t="str">
        <f t="shared" si="6"/>
        <v>1995 a dále-strop pod půdou - po roce 2002</v>
      </c>
      <c r="E141" s="296">
        <v>0.3</v>
      </c>
      <c r="F141">
        <v>0.3</v>
      </c>
      <c r="G141">
        <v>0.2</v>
      </c>
      <c r="H141">
        <v>0.12</v>
      </c>
      <c r="I141" t="str">
        <f t="shared" si="5"/>
        <v>střecha</v>
      </c>
    </row>
    <row r="142" spans="1:9">
      <c r="A142" t="s">
        <v>516</v>
      </c>
      <c r="B142" s="301" t="str">
        <f>ParametryZateplení!$E$3</f>
        <v>do 1920</v>
      </c>
      <c r="C142" s="302" t="s">
        <v>730</v>
      </c>
      <c r="D142" s="303" t="str">
        <f t="shared" si="6"/>
        <v>do 1920-stropy dřevěné trámové nad suterénem s dřevěnou podlahou</v>
      </c>
      <c r="E142" s="304">
        <v>0.9</v>
      </c>
      <c r="F142">
        <v>0.6</v>
      </c>
      <c r="G142">
        <v>0.4</v>
      </c>
      <c r="H142">
        <v>0.3</v>
      </c>
      <c r="I142" t="str">
        <f>$J$18</f>
        <v>podlaha</v>
      </c>
    </row>
    <row r="143" spans="1:9">
      <c r="A143" t="s">
        <v>516</v>
      </c>
      <c r="B143" s="305" t="str">
        <f>ParametryZateplení!$E$3</f>
        <v>do 1920</v>
      </c>
      <c r="C143" s="302" t="s">
        <v>731</v>
      </c>
      <c r="D143" s="303" t="str">
        <f t="shared" si="6"/>
        <v>do 1920-stropy keramické do ocelových nosníků nad suterénem s dřevěnou podlahou</v>
      </c>
      <c r="E143" s="304">
        <v>1.2</v>
      </c>
      <c r="F143">
        <v>0.6</v>
      </c>
      <c r="G143">
        <v>0.4</v>
      </c>
      <c r="H143">
        <v>0.3</v>
      </c>
      <c r="I143" t="str">
        <f t="shared" ref="I143:I166" si="7">$J$18</f>
        <v>podlaha</v>
      </c>
    </row>
    <row r="144" spans="1:9">
      <c r="A144" t="s">
        <v>516</v>
      </c>
      <c r="B144" s="306" t="str">
        <f>ParametryZateplení!$E$4</f>
        <v>1921 až 1945</v>
      </c>
      <c r="C144" s="302" t="s">
        <v>730</v>
      </c>
      <c r="D144" s="303" t="str">
        <f t="shared" si="6"/>
        <v>1921 až 1945-stropy dřevěné trámové nad suterénem s dřevěnou podlahou</v>
      </c>
      <c r="E144" s="304">
        <v>0.9</v>
      </c>
      <c r="F144">
        <v>0.6</v>
      </c>
      <c r="G144">
        <v>0.4</v>
      </c>
      <c r="H144">
        <v>0.3</v>
      </c>
      <c r="I144" t="str">
        <f t="shared" si="7"/>
        <v>podlaha</v>
      </c>
    </row>
    <row r="145" spans="1:9">
      <c r="A145" t="s">
        <v>516</v>
      </c>
      <c r="B145" s="306" t="str">
        <f>ParametryZateplení!$E$4</f>
        <v>1921 až 1945</v>
      </c>
      <c r="C145" s="302" t="s">
        <v>731</v>
      </c>
      <c r="D145" s="303" t="str">
        <f t="shared" si="6"/>
        <v>1921 až 1945-stropy keramické do ocelových nosníků nad suterénem s dřevěnou podlahou</v>
      </c>
      <c r="E145" s="304">
        <v>1.2</v>
      </c>
      <c r="F145">
        <v>0.6</v>
      </c>
      <c r="G145">
        <v>0.4</v>
      </c>
      <c r="H145">
        <v>0.3</v>
      </c>
      <c r="I145" t="str">
        <f t="shared" si="7"/>
        <v>podlaha</v>
      </c>
    </row>
    <row r="146" spans="1:9">
      <c r="A146" t="s">
        <v>516</v>
      </c>
      <c r="B146" s="306" t="str">
        <f>ParametryZateplení!$E$4</f>
        <v>1921 až 1945</v>
      </c>
      <c r="C146" s="302" t="s">
        <v>732</v>
      </c>
      <c r="D146" s="303" t="str">
        <f t="shared" si="6"/>
        <v>1921 až 1945-stropy železobetonové nad suterénem s dřevěnou podlahou</v>
      </c>
      <c r="E146" s="304">
        <v>1.6</v>
      </c>
      <c r="F146">
        <v>0.6</v>
      </c>
      <c r="G146">
        <v>0.4</v>
      </c>
      <c r="H146">
        <v>0.3</v>
      </c>
      <c r="I146" t="str">
        <f t="shared" si="7"/>
        <v>podlaha</v>
      </c>
    </row>
    <row r="147" spans="1:9">
      <c r="A147" t="s">
        <v>516</v>
      </c>
      <c r="B147" s="306" t="str">
        <f>ParametryZateplení!$E$5</f>
        <v>1946 až 1960</v>
      </c>
      <c r="C147" s="302" t="s">
        <v>730</v>
      </c>
      <c r="D147" s="303" t="str">
        <f t="shared" si="6"/>
        <v>1946 až 1960-stropy dřevěné trámové nad suterénem s dřevěnou podlahou</v>
      </c>
      <c r="E147" s="304">
        <v>0.9</v>
      </c>
      <c r="F147">
        <v>0.6</v>
      </c>
      <c r="G147">
        <v>0.4</v>
      </c>
      <c r="H147">
        <v>0.3</v>
      </c>
      <c r="I147" t="str">
        <f t="shared" si="7"/>
        <v>podlaha</v>
      </c>
    </row>
    <row r="148" spans="1:9">
      <c r="A148" t="s">
        <v>516</v>
      </c>
      <c r="B148" s="306" t="str">
        <f>ParametryZateplení!$E$5</f>
        <v>1946 až 1960</v>
      </c>
      <c r="C148" s="302" t="s">
        <v>731</v>
      </c>
      <c r="D148" s="303" t="str">
        <f t="shared" si="6"/>
        <v>1946 až 1960-stropy keramické do ocelových nosníků nad suterénem s dřevěnou podlahou</v>
      </c>
      <c r="E148" s="304">
        <v>1.2</v>
      </c>
      <c r="F148">
        <v>0.6</v>
      </c>
      <c r="G148">
        <v>0.4</v>
      </c>
      <c r="H148">
        <v>0.3</v>
      </c>
      <c r="I148" t="str">
        <f t="shared" si="7"/>
        <v>podlaha</v>
      </c>
    </row>
    <row r="149" spans="1:9">
      <c r="A149" t="s">
        <v>516</v>
      </c>
      <c r="B149" s="306" t="str">
        <f>ParametryZateplení!$E$5</f>
        <v>1946 až 1960</v>
      </c>
      <c r="C149" s="302" t="s">
        <v>732</v>
      </c>
      <c r="D149" s="303" t="str">
        <f t="shared" si="6"/>
        <v>1946 až 1960-stropy železobetonové nad suterénem s dřevěnou podlahou</v>
      </c>
      <c r="E149" s="304">
        <v>1.6</v>
      </c>
      <c r="F149">
        <v>0.6</v>
      </c>
      <c r="G149">
        <v>0.4</v>
      </c>
      <c r="H149">
        <v>0.3</v>
      </c>
      <c r="I149" t="str">
        <f t="shared" si="7"/>
        <v>podlaha</v>
      </c>
    </row>
    <row r="150" spans="1:9">
      <c r="A150" t="s">
        <v>516</v>
      </c>
      <c r="B150" s="306" t="str">
        <f>ParametryZateplení!$E$5</f>
        <v>1946 až 1960</v>
      </c>
      <c r="C150" s="302" t="s">
        <v>602</v>
      </c>
      <c r="D150" s="303" t="str">
        <f t="shared" si="6"/>
        <v>1946 až 1960-stropy železobetonové nad suterénem s podlahou s PVC</v>
      </c>
      <c r="E150" s="304">
        <v>1.6</v>
      </c>
      <c r="F150">
        <v>0.6</v>
      </c>
      <c r="G150">
        <v>0.4</v>
      </c>
      <c r="H150">
        <v>0.3</v>
      </c>
      <c r="I150" t="str">
        <f t="shared" si="7"/>
        <v>podlaha</v>
      </c>
    </row>
    <row r="151" spans="1:9">
      <c r="A151" t="s">
        <v>516</v>
      </c>
      <c r="B151" s="306" t="str">
        <f>ParametryZateplení!$E$5</f>
        <v>1946 až 1960</v>
      </c>
      <c r="C151" s="302" t="s">
        <v>603</v>
      </c>
      <c r="D151" s="303" t="str">
        <f t="shared" si="6"/>
        <v>1946 až 1960-stropy železobetonové panelové nad suterénem s podlahou s PVC</v>
      </c>
      <c r="E151" s="304">
        <v>1.4</v>
      </c>
      <c r="F151">
        <v>0.6</v>
      </c>
      <c r="G151">
        <v>0.4</v>
      </c>
      <c r="H151">
        <v>0.3</v>
      </c>
      <c r="I151" t="str">
        <f t="shared" si="7"/>
        <v>podlaha</v>
      </c>
    </row>
    <row r="152" spans="1:9">
      <c r="A152" t="s">
        <v>516</v>
      </c>
      <c r="B152" s="306" t="str">
        <f>ParametryZateplení!$E$5</f>
        <v>1946 až 1960</v>
      </c>
      <c r="C152" s="302" t="s">
        <v>604</v>
      </c>
      <c r="D152" s="303" t="str">
        <f t="shared" si="6"/>
        <v>1946 až 1960-stropy keramické z panelů a vložek nad suterénem s podlahou s PVC</v>
      </c>
      <c r="E152" s="304">
        <v>0.9</v>
      </c>
      <c r="F152">
        <v>0.6</v>
      </c>
      <c r="G152">
        <v>0.4</v>
      </c>
      <c r="H152">
        <v>0.3</v>
      </c>
      <c r="I152" t="str">
        <f t="shared" si="7"/>
        <v>podlaha</v>
      </c>
    </row>
    <row r="153" spans="1:9">
      <c r="A153" t="s">
        <v>516</v>
      </c>
      <c r="B153" s="307" t="str">
        <f>ParametryZateplení!$E$6</f>
        <v>1961 až 1980</v>
      </c>
      <c r="C153" s="302" t="s">
        <v>731</v>
      </c>
      <c r="D153" s="303" t="str">
        <f t="shared" si="6"/>
        <v>1961 až 1980-stropy keramické do ocelových nosníků nad suterénem s dřevěnou podlahou</v>
      </c>
      <c r="E153" s="304">
        <v>1.2</v>
      </c>
      <c r="F153">
        <v>0.6</v>
      </c>
      <c r="G153">
        <v>0.4</v>
      </c>
      <c r="H153">
        <v>0.3</v>
      </c>
      <c r="I153" t="str">
        <f t="shared" si="7"/>
        <v>podlaha</v>
      </c>
    </row>
    <row r="154" spans="1:9">
      <c r="A154" t="s">
        <v>516</v>
      </c>
      <c r="B154" s="307" t="str">
        <f>ParametryZateplení!$E$6</f>
        <v>1961 až 1980</v>
      </c>
      <c r="C154" s="302" t="s">
        <v>732</v>
      </c>
      <c r="D154" s="303" t="str">
        <f t="shared" si="6"/>
        <v>1961 až 1980-stropy železobetonové nad suterénem s dřevěnou podlahou</v>
      </c>
      <c r="E154" s="304">
        <v>1.6</v>
      </c>
      <c r="F154">
        <v>0.6</v>
      </c>
      <c r="G154">
        <v>0.4</v>
      </c>
      <c r="H154">
        <v>0.3</v>
      </c>
      <c r="I154" t="str">
        <f t="shared" si="7"/>
        <v>podlaha</v>
      </c>
    </row>
    <row r="155" spans="1:9">
      <c r="A155" t="s">
        <v>516</v>
      </c>
      <c r="B155" s="307" t="str">
        <f>ParametryZateplení!$E$6</f>
        <v>1961 až 1980</v>
      </c>
      <c r="C155" s="302" t="s">
        <v>602</v>
      </c>
      <c r="D155" s="303" t="str">
        <f t="shared" si="6"/>
        <v>1961 až 1980-stropy železobetonové nad suterénem s podlahou s PVC</v>
      </c>
      <c r="E155" s="304">
        <v>1.6</v>
      </c>
      <c r="F155">
        <v>0.6</v>
      </c>
      <c r="G155">
        <v>0.4</v>
      </c>
      <c r="H155">
        <v>0.3</v>
      </c>
      <c r="I155" t="str">
        <f t="shared" si="7"/>
        <v>podlaha</v>
      </c>
    </row>
    <row r="156" spans="1:9">
      <c r="A156" t="s">
        <v>516</v>
      </c>
      <c r="B156" s="307" t="str">
        <f>ParametryZateplení!$E$6</f>
        <v>1961 až 1980</v>
      </c>
      <c r="C156" s="302" t="s">
        <v>603</v>
      </c>
      <c r="D156" s="303" t="str">
        <f t="shared" si="6"/>
        <v>1961 až 1980-stropy železobetonové panelové nad suterénem s podlahou s PVC</v>
      </c>
      <c r="E156" s="304">
        <v>1.4</v>
      </c>
      <c r="F156">
        <v>0.6</v>
      </c>
      <c r="G156">
        <v>0.4</v>
      </c>
      <c r="H156">
        <v>0.3</v>
      </c>
      <c r="I156" t="str">
        <f t="shared" si="7"/>
        <v>podlaha</v>
      </c>
    </row>
    <row r="157" spans="1:9">
      <c r="A157" t="s">
        <v>516</v>
      </c>
      <c r="B157" s="307" t="str">
        <f>ParametryZateplení!$E$6</f>
        <v>1961 až 1980</v>
      </c>
      <c r="C157" s="302" t="s">
        <v>604</v>
      </c>
      <c r="D157" s="303" t="str">
        <f t="shared" si="6"/>
        <v>1961 až 1980-stropy keramické z panelů a vložek nad suterénem s podlahou s PVC</v>
      </c>
      <c r="E157" s="304">
        <v>0.9</v>
      </c>
      <c r="F157">
        <v>0.6</v>
      </c>
      <c r="G157">
        <v>0.4</v>
      </c>
      <c r="H157">
        <v>0.3</v>
      </c>
      <c r="I157" t="str">
        <f t="shared" si="7"/>
        <v>podlaha</v>
      </c>
    </row>
    <row r="158" spans="1:9">
      <c r="A158" t="s">
        <v>516</v>
      </c>
      <c r="B158" s="306" t="str">
        <f>ParametryZateplení!$E$7</f>
        <v>1981 až 1994</v>
      </c>
      <c r="C158" s="302" t="s">
        <v>731</v>
      </c>
      <c r="D158" s="303" t="str">
        <f t="shared" si="6"/>
        <v>1981 až 1994-stropy keramické do ocelových nosníků nad suterénem s dřevěnou podlahou</v>
      </c>
      <c r="E158" s="304">
        <v>1.2</v>
      </c>
      <c r="F158">
        <v>0.6</v>
      </c>
      <c r="G158">
        <v>0.4</v>
      </c>
      <c r="H158">
        <v>0.3</v>
      </c>
      <c r="I158" t="str">
        <f t="shared" si="7"/>
        <v>podlaha</v>
      </c>
    </row>
    <row r="159" spans="1:9">
      <c r="A159" t="s">
        <v>516</v>
      </c>
      <c r="B159" s="306" t="str">
        <f>ParametryZateplení!$E$7</f>
        <v>1981 až 1994</v>
      </c>
      <c r="C159" s="302" t="s">
        <v>732</v>
      </c>
      <c r="D159" s="303" t="str">
        <f t="shared" si="6"/>
        <v>1981 až 1994-stropy železobetonové nad suterénem s dřevěnou podlahou</v>
      </c>
      <c r="E159" s="304">
        <v>1.6</v>
      </c>
      <c r="F159">
        <v>0.6</v>
      </c>
      <c r="G159">
        <v>0.4</v>
      </c>
      <c r="H159">
        <v>0.3</v>
      </c>
      <c r="I159" t="str">
        <f t="shared" si="7"/>
        <v>podlaha</v>
      </c>
    </row>
    <row r="160" spans="1:9">
      <c r="A160" t="s">
        <v>516</v>
      </c>
      <c r="B160" s="306" t="str">
        <f>ParametryZateplení!$E$7</f>
        <v>1981 až 1994</v>
      </c>
      <c r="C160" s="302" t="s">
        <v>602</v>
      </c>
      <c r="D160" s="303" t="str">
        <f t="shared" si="6"/>
        <v>1981 až 1994-stropy železobetonové nad suterénem s podlahou s PVC</v>
      </c>
      <c r="E160" s="304">
        <v>1.6</v>
      </c>
      <c r="F160">
        <v>0.6</v>
      </c>
      <c r="G160">
        <v>0.4</v>
      </c>
      <c r="H160">
        <v>0.3</v>
      </c>
      <c r="I160" t="str">
        <f t="shared" si="7"/>
        <v>podlaha</v>
      </c>
    </row>
    <row r="161" spans="1:9">
      <c r="A161" t="s">
        <v>516</v>
      </c>
      <c r="B161" s="306" t="str">
        <f>ParametryZateplení!$E$7</f>
        <v>1981 až 1994</v>
      </c>
      <c r="C161" s="302" t="s">
        <v>603</v>
      </c>
      <c r="D161" s="303" t="str">
        <f t="shared" si="6"/>
        <v>1981 až 1994-stropy železobetonové panelové nad suterénem s podlahou s PVC</v>
      </c>
      <c r="E161" s="304">
        <v>1</v>
      </c>
      <c r="F161">
        <v>0.6</v>
      </c>
      <c r="G161">
        <v>0.4</v>
      </c>
      <c r="H161">
        <v>0.3</v>
      </c>
      <c r="I161" t="str">
        <f t="shared" si="7"/>
        <v>podlaha</v>
      </c>
    </row>
    <row r="162" spans="1:9">
      <c r="A162" t="s">
        <v>516</v>
      </c>
      <c r="B162" s="306" t="str">
        <f>ParametryZateplení!$E$7</f>
        <v>1981 až 1994</v>
      </c>
      <c r="C162" s="302" t="s">
        <v>604</v>
      </c>
      <c r="D162" s="303" t="str">
        <f t="shared" si="6"/>
        <v>1981 až 1994-stropy keramické z panelů a vložek nad suterénem s podlahou s PVC</v>
      </c>
      <c r="E162" s="304">
        <v>0.9</v>
      </c>
      <c r="F162">
        <v>0.6</v>
      </c>
      <c r="G162">
        <v>0.4</v>
      </c>
      <c r="H162">
        <v>0.3</v>
      </c>
      <c r="I162" t="str">
        <f t="shared" si="7"/>
        <v>podlaha</v>
      </c>
    </row>
    <row r="163" spans="1:9">
      <c r="A163" t="s">
        <v>516</v>
      </c>
      <c r="B163" s="307" t="str">
        <f>ParametryZateplení!$E$8</f>
        <v>1995 a dále</v>
      </c>
      <c r="C163" s="302" t="s">
        <v>605</v>
      </c>
      <c r="D163" s="303" t="str">
        <f t="shared" si="6"/>
        <v>1995 a dále-podlaha nad nevytápěným prostorem do roku 2002</v>
      </c>
      <c r="E163" s="308">
        <v>0.77</v>
      </c>
      <c r="F163">
        <v>0.6</v>
      </c>
      <c r="G163">
        <v>0.4</v>
      </c>
      <c r="H163">
        <v>0.3</v>
      </c>
      <c r="I163" t="str">
        <f t="shared" si="7"/>
        <v>podlaha</v>
      </c>
    </row>
    <row r="164" spans="1:9">
      <c r="A164" t="s">
        <v>516</v>
      </c>
      <c r="B164" s="307" t="str">
        <f>ParametryZateplení!$E$8</f>
        <v>1995 a dále</v>
      </c>
      <c r="C164" s="309" t="s">
        <v>606</v>
      </c>
      <c r="D164" s="303" t="str">
        <f t="shared" si="6"/>
        <v>1995 a dále-podlaha s podlahovým vytápěním lehká</v>
      </c>
      <c r="E164" s="308">
        <v>0.24</v>
      </c>
      <c r="F164">
        <v>0.6</v>
      </c>
      <c r="G164">
        <v>0.4</v>
      </c>
      <c r="H164">
        <v>0.3</v>
      </c>
      <c r="I164" t="str">
        <f t="shared" si="7"/>
        <v>podlaha</v>
      </c>
    </row>
    <row r="165" spans="1:9">
      <c r="A165" t="s">
        <v>516</v>
      </c>
      <c r="B165" s="307" t="str">
        <f>ParametryZateplení!$E$8</f>
        <v>1995 a dále</v>
      </c>
      <c r="C165" s="310" t="s">
        <v>607</v>
      </c>
      <c r="D165" s="303" t="str">
        <f t="shared" si="6"/>
        <v>1995 a dále-podlaha s podlahovým vytápěním těžká</v>
      </c>
      <c r="E165" s="311">
        <v>0.3</v>
      </c>
      <c r="F165">
        <v>0.6</v>
      </c>
      <c r="G165">
        <v>0.4</v>
      </c>
      <c r="H165">
        <v>0.3</v>
      </c>
      <c r="I165" t="str">
        <f t="shared" si="7"/>
        <v>podlaha</v>
      </c>
    </row>
    <row r="166" spans="1:9">
      <c r="A166" t="s">
        <v>516</v>
      </c>
      <c r="B166" s="307" t="str">
        <f>ParametryZateplení!$E$8</f>
        <v>1995 a dále</v>
      </c>
      <c r="C166" s="310" t="s">
        <v>608</v>
      </c>
      <c r="D166" s="303" t="str">
        <f t="shared" si="6"/>
        <v>1995 a dále-strop nad nevytápěným prostorem po roce 2002</v>
      </c>
      <c r="E166" s="311">
        <v>0.6</v>
      </c>
      <c r="F166">
        <v>0.6</v>
      </c>
      <c r="G166">
        <v>0.4</v>
      </c>
      <c r="H166">
        <v>0.3</v>
      </c>
      <c r="I166" t="str">
        <f t="shared" si="7"/>
        <v>podlaha</v>
      </c>
    </row>
    <row r="167" spans="1:9">
      <c r="A167" t="s">
        <v>523</v>
      </c>
      <c r="B167" s="301" t="str">
        <f>ParametryZateplení!$E$3</f>
        <v>do 1920</v>
      </c>
      <c r="C167" s="302" t="s">
        <v>609</v>
      </c>
      <c r="D167" s="303" t="str">
        <f t="shared" si="6"/>
        <v>do 1920-okna dřevěná špaletová se 2 skly</v>
      </c>
      <c r="E167" s="304">
        <v>2.35</v>
      </c>
      <c r="F167">
        <v>1.5</v>
      </c>
      <c r="G167">
        <v>1.2</v>
      </c>
      <c r="H167">
        <v>0.9</v>
      </c>
      <c r="I167" t="str">
        <f>$J$19</f>
        <v>okna</v>
      </c>
    </row>
    <row r="168" spans="1:9">
      <c r="A168" t="s">
        <v>523</v>
      </c>
      <c r="B168" s="301" t="str">
        <f>ParametryZateplení!$E$3</f>
        <v>do 1920</v>
      </c>
      <c r="C168" s="302" t="s">
        <v>610</v>
      </c>
      <c r="D168" s="303" t="str">
        <f t="shared" si="6"/>
        <v>do 1920-okna dřevěná jednoduchá s 1 sklem</v>
      </c>
      <c r="E168" s="304">
        <v>4.5</v>
      </c>
      <c r="F168">
        <v>1.5</v>
      </c>
      <c r="G168">
        <v>1.2</v>
      </c>
      <c r="H168">
        <v>0.9</v>
      </c>
      <c r="I168" t="str">
        <f t="shared" ref="I168:I214" si="8">$J$19</f>
        <v>okna</v>
      </c>
    </row>
    <row r="169" spans="1:9">
      <c r="A169" t="s">
        <v>523</v>
      </c>
      <c r="B169" s="301" t="str">
        <f>ParametryZateplení!$E$3</f>
        <v>do 1920</v>
      </c>
      <c r="C169" s="302" t="s">
        <v>611</v>
      </c>
      <c r="D169" s="303" t="str">
        <f t="shared" si="6"/>
        <v>do 1920-okna dřevěná zdvojená se 2 skly</v>
      </c>
      <c r="E169" s="304">
        <v>2.4</v>
      </c>
      <c r="F169">
        <v>1.5</v>
      </c>
      <c r="G169">
        <v>1.2</v>
      </c>
      <c r="H169">
        <v>0.9</v>
      </c>
      <c r="I169" t="str">
        <f t="shared" si="8"/>
        <v>okna</v>
      </c>
    </row>
    <row r="170" spans="1:9">
      <c r="A170" t="s">
        <v>523</v>
      </c>
      <c r="B170" s="301" t="str">
        <f>ParametryZateplení!$E$3</f>
        <v>do 1920</v>
      </c>
      <c r="C170" s="302" t="s">
        <v>612</v>
      </c>
      <c r="D170" s="303" t="str">
        <f t="shared" si="6"/>
        <v>do 1920-okna kovová zdvojená se 2 skly</v>
      </c>
      <c r="E170" s="304">
        <v>3.3</v>
      </c>
      <c r="F170">
        <v>1.5</v>
      </c>
      <c r="G170">
        <v>1.2</v>
      </c>
      <c r="H170">
        <v>0.9</v>
      </c>
      <c r="I170" t="str">
        <f t="shared" si="8"/>
        <v>okna</v>
      </c>
    </row>
    <row r="171" spans="1:9">
      <c r="A171" t="s">
        <v>523</v>
      </c>
      <c r="B171" s="301" t="str">
        <f>ParametryZateplení!$E$3</f>
        <v>do 1920</v>
      </c>
      <c r="C171" s="302" t="s">
        <v>613</v>
      </c>
      <c r="D171" s="303" t="str">
        <f t="shared" si="6"/>
        <v>do 1920-kopility</v>
      </c>
      <c r="E171" s="304">
        <v>2.7</v>
      </c>
      <c r="F171">
        <v>1.5</v>
      </c>
      <c r="G171">
        <v>1.2</v>
      </c>
      <c r="H171">
        <v>0.9</v>
      </c>
      <c r="I171" t="str">
        <f t="shared" si="8"/>
        <v>okna</v>
      </c>
    </row>
    <row r="172" spans="1:9">
      <c r="A172" t="s">
        <v>523</v>
      </c>
      <c r="B172" s="301" t="str">
        <f>ParametryZateplení!$E$3</f>
        <v>do 1920</v>
      </c>
      <c r="C172" s="302" t="s">
        <v>614</v>
      </c>
      <c r="D172" s="303" t="str">
        <f t="shared" si="6"/>
        <v>do 1920-sklobetonová stěna (luxfery)</v>
      </c>
      <c r="E172" s="304">
        <v>3.1</v>
      </c>
      <c r="F172">
        <v>1.5</v>
      </c>
      <c r="G172">
        <v>1.2</v>
      </c>
      <c r="H172">
        <v>0.9</v>
      </c>
      <c r="I172" t="str">
        <f t="shared" si="8"/>
        <v>okna</v>
      </c>
    </row>
    <row r="173" spans="1:9">
      <c r="A173" t="s">
        <v>523</v>
      </c>
      <c r="B173" s="301" t="str">
        <f>ParametryZateplení!$E$3</f>
        <v>do 1920</v>
      </c>
      <c r="C173" s="302" t="s">
        <v>615</v>
      </c>
      <c r="D173" s="303" t="str">
        <f t="shared" si="6"/>
        <v>do 1920-okna vyměněná před 2011</v>
      </c>
      <c r="E173" s="304">
        <v>1.7</v>
      </c>
      <c r="F173">
        <v>1.5</v>
      </c>
      <c r="G173">
        <v>1.2</v>
      </c>
      <c r="H173">
        <v>0.9</v>
      </c>
      <c r="I173" t="str">
        <f t="shared" si="8"/>
        <v>okna</v>
      </c>
    </row>
    <row r="174" spans="1:9">
      <c r="A174" t="s">
        <v>523</v>
      </c>
      <c r="B174" s="301" t="str">
        <f>ParametryZateplení!$E$3</f>
        <v>do 1920</v>
      </c>
      <c r="C174" s="302" t="s">
        <v>616</v>
      </c>
      <c r="D174" s="303" t="str">
        <f t="shared" si="6"/>
        <v>do 1920-okna vyměněná po roce 2011</v>
      </c>
      <c r="E174" s="304">
        <v>1.5</v>
      </c>
      <c r="F174">
        <v>1.5</v>
      </c>
      <c r="G174">
        <v>1.2</v>
      </c>
      <c r="H174">
        <v>0.9</v>
      </c>
      <c r="I174" t="str">
        <f t="shared" si="8"/>
        <v>okna</v>
      </c>
    </row>
    <row r="175" spans="1:9">
      <c r="A175" t="s">
        <v>523</v>
      </c>
      <c r="B175" s="306" t="str">
        <f>ParametryZateplení!$E$4</f>
        <v>1921 až 1945</v>
      </c>
      <c r="C175" s="302" t="s">
        <v>609</v>
      </c>
      <c r="D175" s="303" t="str">
        <f t="shared" si="6"/>
        <v>1921 až 1945-okna dřevěná špaletová se 2 skly</v>
      </c>
      <c r="E175" s="304">
        <v>2.35</v>
      </c>
      <c r="F175">
        <v>1.5</v>
      </c>
      <c r="G175">
        <v>1.2</v>
      </c>
      <c r="H175">
        <v>0.9</v>
      </c>
      <c r="I175" t="str">
        <f t="shared" si="8"/>
        <v>okna</v>
      </c>
    </row>
    <row r="176" spans="1:9">
      <c r="A176" t="s">
        <v>523</v>
      </c>
      <c r="B176" s="306" t="str">
        <f>ParametryZateplení!$E$4</f>
        <v>1921 až 1945</v>
      </c>
      <c r="C176" s="302" t="s">
        <v>610</v>
      </c>
      <c r="D176" s="303" t="str">
        <f t="shared" si="6"/>
        <v>1921 až 1945-okna dřevěná jednoduchá s 1 sklem</v>
      </c>
      <c r="E176" s="304">
        <v>4.5</v>
      </c>
      <c r="F176">
        <v>1.5</v>
      </c>
      <c r="G176">
        <v>1.2</v>
      </c>
      <c r="H176">
        <v>0.9</v>
      </c>
      <c r="I176" t="str">
        <f t="shared" si="8"/>
        <v>okna</v>
      </c>
    </row>
    <row r="177" spans="1:9">
      <c r="A177" t="s">
        <v>523</v>
      </c>
      <c r="B177" s="306" t="str">
        <f>ParametryZateplení!$E$4</f>
        <v>1921 až 1945</v>
      </c>
      <c r="C177" s="302" t="s">
        <v>611</v>
      </c>
      <c r="D177" s="303" t="str">
        <f t="shared" si="6"/>
        <v>1921 až 1945-okna dřevěná zdvojená se 2 skly</v>
      </c>
      <c r="E177" s="304">
        <v>2.4</v>
      </c>
      <c r="F177">
        <v>1.5</v>
      </c>
      <c r="G177">
        <v>1.2</v>
      </c>
      <c r="H177">
        <v>0.9</v>
      </c>
      <c r="I177" t="str">
        <f t="shared" si="8"/>
        <v>okna</v>
      </c>
    </row>
    <row r="178" spans="1:9">
      <c r="A178" t="s">
        <v>523</v>
      </c>
      <c r="B178" s="306" t="str">
        <f>ParametryZateplení!$E$4</f>
        <v>1921 až 1945</v>
      </c>
      <c r="C178" s="302" t="s">
        <v>612</v>
      </c>
      <c r="D178" s="303" t="str">
        <f t="shared" si="6"/>
        <v>1921 až 1945-okna kovová zdvojená se 2 skly</v>
      </c>
      <c r="E178" s="304">
        <v>3.3</v>
      </c>
      <c r="F178">
        <v>1.5</v>
      </c>
      <c r="G178">
        <v>1.2</v>
      </c>
      <c r="H178">
        <v>0.9</v>
      </c>
      <c r="I178" t="str">
        <f t="shared" si="8"/>
        <v>okna</v>
      </c>
    </row>
    <row r="179" spans="1:9">
      <c r="A179" t="s">
        <v>523</v>
      </c>
      <c r="B179" s="306" t="str">
        <f>ParametryZateplení!$E$4</f>
        <v>1921 až 1945</v>
      </c>
      <c r="C179" s="302" t="s">
        <v>613</v>
      </c>
      <c r="D179" s="303" t="str">
        <f t="shared" si="6"/>
        <v>1921 až 1945-kopility</v>
      </c>
      <c r="E179" s="304">
        <v>2.7</v>
      </c>
      <c r="F179">
        <v>1.5</v>
      </c>
      <c r="G179">
        <v>1.2</v>
      </c>
      <c r="H179">
        <v>0.9</v>
      </c>
      <c r="I179" t="str">
        <f t="shared" si="8"/>
        <v>okna</v>
      </c>
    </row>
    <row r="180" spans="1:9">
      <c r="A180" t="s">
        <v>523</v>
      </c>
      <c r="B180" s="306" t="str">
        <f>ParametryZateplení!$E$4</f>
        <v>1921 až 1945</v>
      </c>
      <c r="C180" s="302" t="s">
        <v>614</v>
      </c>
      <c r="D180" s="303" t="str">
        <f t="shared" si="6"/>
        <v>1921 až 1945-sklobetonová stěna (luxfery)</v>
      </c>
      <c r="E180" s="304">
        <v>3.1</v>
      </c>
      <c r="F180">
        <v>1.5</v>
      </c>
      <c r="G180">
        <v>1.2</v>
      </c>
      <c r="H180">
        <v>0.9</v>
      </c>
      <c r="I180" t="str">
        <f t="shared" si="8"/>
        <v>okna</v>
      </c>
    </row>
    <row r="181" spans="1:9">
      <c r="A181" t="s">
        <v>523</v>
      </c>
      <c r="B181" s="306" t="str">
        <f>ParametryZateplení!$E$4</f>
        <v>1921 až 1945</v>
      </c>
      <c r="C181" s="302" t="s">
        <v>615</v>
      </c>
      <c r="D181" s="303" t="str">
        <f t="shared" si="6"/>
        <v>1921 až 1945-okna vyměněná před 2011</v>
      </c>
      <c r="E181" s="304">
        <v>1.7</v>
      </c>
      <c r="F181">
        <v>1.5</v>
      </c>
      <c r="G181">
        <v>1.2</v>
      </c>
      <c r="H181">
        <v>0.9</v>
      </c>
      <c r="I181" t="str">
        <f t="shared" si="8"/>
        <v>okna</v>
      </c>
    </row>
    <row r="182" spans="1:9">
      <c r="A182" t="s">
        <v>523</v>
      </c>
      <c r="B182" s="306" t="str">
        <f>ParametryZateplení!$E$4</f>
        <v>1921 až 1945</v>
      </c>
      <c r="C182" s="302" t="s">
        <v>616</v>
      </c>
      <c r="D182" s="303" t="str">
        <f t="shared" si="6"/>
        <v>1921 až 1945-okna vyměněná po roce 2011</v>
      </c>
      <c r="E182" s="304">
        <v>1.5</v>
      </c>
      <c r="F182">
        <v>1.5</v>
      </c>
      <c r="G182">
        <v>1.2</v>
      </c>
      <c r="H182">
        <v>0.9</v>
      </c>
      <c r="I182" t="str">
        <f t="shared" si="8"/>
        <v>okna</v>
      </c>
    </row>
    <row r="183" spans="1:9">
      <c r="A183" t="s">
        <v>523</v>
      </c>
      <c r="B183" s="306" t="str">
        <f>ParametryZateplení!$E$5</f>
        <v>1946 až 1960</v>
      </c>
      <c r="C183" s="302" t="s">
        <v>609</v>
      </c>
      <c r="D183" s="303" t="str">
        <f t="shared" si="6"/>
        <v>1946 až 1960-okna dřevěná špaletová se 2 skly</v>
      </c>
      <c r="E183" s="304">
        <v>2.35</v>
      </c>
      <c r="F183">
        <v>1.5</v>
      </c>
      <c r="G183">
        <v>1.2</v>
      </c>
      <c r="H183">
        <v>0.9</v>
      </c>
      <c r="I183" t="str">
        <f t="shared" si="8"/>
        <v>okna</v>
      </c>
    </row>
    <row r="184" spans="1:9">
      <c r="A184" t="s">
        <v>523</v>
      </c>
      <c r="B184" s="306" t="str">
        <f>ParametryZateplení!$E$5</f>
        <v>1946 až 1960</v>
      </c>
      <c r="C184" s="302" t="s">
        <v>610</v>
      </c>
      <c r="D184" s="303" t="str">
        <f t="shared" si="6"/>
        <v>1946 až 1960-okna dřevěná jednoduchá s 1 sklem</v>
      </c>
      <c r="E184" s="304">
        <v>4.5</v>
      </c>
      <c r="F184">
        <v>1.5</v>
      </c>
      <c r="G184">
        <v>1.2</v>
      </c>
      <c r="H184">
        <v>0.9</v>
      </c>
      <c r="I184" t="str">
        <f t="shared" si="8"/>
        <v>okna</v>
      </c>
    </row>
    <row r="185" spans="1:9">
      <c r="A185" t="s">
        <v>523</v>
      </c>
      <c r="B185" s="306" t="str">
        <f>ParametryZateplení!$E$5</f>
        <v>1946 až 1960</v>
      </c>
      <c r="C185" s="302" t="s">
        <v>611</v>
      </c>
      <c r="D185" s="303" t="str">
        <f t="shared" si="6"/>
        <v>1946 až 1960-okna dřevěná zdvojená se 2 skly</v>
      </c>
      <c r="E185" s="304">
        <v>2.4</v>
      </c>
      <c r="F185">
        <v>1.5</v>
      </c>
      <c r="G185">
        <v>1.2</v>
      </c>
      <c r="H185">
        <v>0.9</v>
      </c>
      <c r="I185" t="str">
        <f t="shared" si="8"/>
        <v>okna</v>
      </c>
    </row>
    <row r="186" spans="1:9">
      <c r="A186" t="s">
        <v>523</v>
      </c>
      <c r="B186" s="306" t="str">
        <f>ParametryZateplení!$E$5</f>
        <v>1946 až 1960</v>
      </c>
      <c r="C186" s="302" t="s">
        <v>612</v>
      </c>
      <c r="D186" s="303" t="str">
        <f t="shared" si="6"/>
        <v>1946 až 1960-okna kovová zdvojená se 2 skly</v>
      </c>
      <c r="E186" s="304">
        <v>3.3</v>
      </c>
      <c r="F186">
        <v>1.5</v>
      </c>
      <c r="G186">
        <v>1.2</v>
      </c>
      <c r="H186">
        <v>0.9</v>
      </c>
      <c r="I186" t="str">
        <f t="shared" si="8"/>
        <v>okna</v>
      </c>
    </row>
    <row r="187" spans="1:9">
      <c r="A187" t="s">
        <v>523</v>
      </c>
      <c r="B187" s="306" t="str">
        <f>ParametryZateplení!$E$5</f>
        <v>1946 až 1960</v>
      </c>
      <c r="C187" s="302" t="s">
        <v>613</v>
      </c>
      <c r="D187" s="303" t="str">
        <f t="shared" si="6"/>
        <v>1946 až 1960-kopility</v>
      </c>
      <c r="E187" s="304">
        <v>2.7</v>
      </c>
      <c r="F187">
        <v>1.5</v>
      </c>
      <c r="G187">
        <v>1.2</v>
      </c>
      <c r="H187">
        <v>0.9</v>
      </c>
      <c r="I187" t="str">
        <f t="shared" si="8"/>
        <v>okna</v>
      </c>
    </row>
    <row r="188" spans="1:9">
      <c r="A188" t="s">
        <v>523</v>
      </c>
      <c r="B188" s="306" t="str">
        <f>ParametryZateplení!$E$5</f>
        <v>1946 až 1960</v>
      </c>
      <c r="C188" s="302" t="s">
        <v>614</v>
      </c>
      <c r="D188" s="303" t="str">
        <f t="shared" si="6"/>
        <v>1946 až 1960-sklobetonová stěna (luxfery)</v>
      </c>
      <c r="E188" s="304">
        <v>3.1</v>
      </c>
      <c r="F188">
        <v>1.5</v>
      </c>
      <c r="G188">
        <v>1.2</v>
      </c>
      <c r="H188">
        <v>0.9</v>
      </c>
      <c r="I188" t="str">
        <f t="shared" si="8"/>
        <v>okna</v>
      </c>
    </row>
    <row r="189" spans="1:9">
      <c r="A189" t="s">
        <v>523</v>
      </c>
      <c r="B189" s="306" t="str">
        <f>ParametryZateplení!$E$5</f>
        <v>1946 až 1960</v>
      </c>
      <c r="C189" s="302" t="s">
        <v>615</v>
      </c>
      <c r="D189" s="303" t="str">
        <f t="shared" si="6"/>
        <v>1946 až 1960-okna vyměněná před 2011</v>
      </c>
      <c r="E189" s="304">
        <v>1.7</v>
      </c>
      <c r="F189">
        <v>1.5</v>
      </c>
      <c r="G189">
        <v>1.2</v>
      </c>
      <c r="H189">
        <v>0.9</v>
      </c>
      <c r="I189" t="str">
        <f t="shared" si="8"/>
        <v>okna</v>
      </c>
    </row>
    <row r="190" spans="1:9">
      <c r="A190" t="s">
        <v>523</v>
      </c>
      <c r="B190" s="306" t="str">
        <f>ParametryZateplení!$E$5</f>
        <v>1946 až 1960</v>
      </c>
      <c r="C190" s="302" t="s">
        <v>616</v>
      </c>
      <c r="D190" s="303" t="str">
        <f t="shared" si="6"/>
        <v>1946 až 1960-okna vyměněná po roce 2011</v>
      </c>
      <c r="E190" s="304">
        <v>1.5</v>
      </c>
      <c r="F190">
        <v>1.5</v>
      </c>
      <c r="G190">
        <v>1.2</v>
      </c>
      <c r="H190">
        <v>0.9</v>
      </c>
      <c r="I190" t="str">
        <f t="shared" si="8"/>
        <v>okna</v>
      </c>
    </row>
    <row r="191" spans="1:9">
      <c r="A191" t="s">
        <v>523</v>
      </c>
      <c r="B191" s="307" t="str">
        <f>ParametryZateplení!$E$6</f>
        <v>1961 až 1980</v>
      </c>
      <c r="C191" s="302" t="s">
        <v>609</v>
      </c>
      <c r="D191" s="303" t="str">
        <f t="shared" si="6"/>
        <v>1961 až 1980-okna dřevěná špaletová se 2 skly</v>
      </c>
      <c r="E191" s="304">
        <v>2.35</v>
      </c>
      <c r="F191">
        <v>1.5</v>
      </c>
      <c r="G191">
        <v>1.2</v>
      </c>
      <c r="H191">
        <v>0.9</v>
      </c>
      <c r="I191" t="str">
        <f t="shared" si="8"/>
        <v>okna</v>
      </c>
    </row>
    <row r="192" spans="1:9">
      <c r="A192" t="s">
        <v>523</v>
      </c>
      <c r="B192" s="307" t="str">
        <f>ParametryZateplení!$E$6</f>
        <v>1961 až 1980</v>
      </c>
      <c r="C192" s="302" t="s">
        <v>610</v>
      </c>
      <c r="D192" s="303" t="str">
        <f t="shared" si="6"/>
        <v>1961 až 1980-okna dřevěná jednoduchá s 1 sklem</v>
      </c>
      <c r="E192" s="304">
        <v>4.5</v>
      </c>
      <c r="F192">
        <v>1.5</v>
      </c>
      <c r="G192">
        <v>1.2</v>
      </c>
      <c r="H192">
        <v>0.9</v>
      </c>
      <c r="I192" t="str">
        <f t="shared" si="8"/>
        <v>okna</v>
      </c>
    </row>
    <row r="193" spans="1:9">
      <c r="A193" t="s">
        <v>523</v>
      </c>
      <c r="B193" s="307" t="str">
        <f>ParametryZateplení!$E$6</f>
        <v>1961 až 1980</v>
      </c>
      <c r="C193" s="302" t="s">
        <v>611</v>
      </c>
      <c r="D193" s="303" t="str">
        <f t="shared" si="6"/>
        <v>1961 až 1980-okna dřevěná zdvojená se 2 skly</v>
      </c>
      <c r="E193" s="304">
        <v>2.4</v>
      </c>
      <c r="F193">
        <v>1.5</v>
      </c>
      <c r="G193">
        <v>1.2</v>
      </c>
      <c r="H193">
        <v>0.9</v>
      </c>
      <c r="I193" t="str">
        <f t="shared" si="8"/>
        <v>okna</v>
      </c>
    </row>
    <row r="194" spans="1:9">
      <c r="A194" t="s">
        <v>523</v>
      </c>
      <c r="B194" s="307" t="str">
        <f>ParametryZateplení!$E$6</f>
        <v>1961 až 1980</v>
      </c>
      <c r="C194" s="302" t="s">
        <v>612</v>
      </c>
      <c r="D194" s="303" t="str">
        <f t="shared" si="6"/>
        <v>1961 až 1980-okna kovová zdvojená se 2 skly</v>
      </c>
      <c r="E194" s="304">
        <v>3.3</v>
      </c>
      <c r="F194">
        <v>1.5</v>
      </c>
      <c r="G194">
        <v>1.2</v>
      </c>
      <c r="H194">
        <v>0.9</v>
      </c>
      <c r="I194" t="str">
        <f t="shared" si="8"/>
        <v>okna</v>
      </c>
    </row>
    <row r="195" spans="1:9">
      <c r="A195" t="s">
        <v>523</v>
      </c>
      <c r="B195" s="307" t="str">
        <f>ParametryZateplení!$E$6</f>
        <v>1961 až 1980</v>
      </c>
      <c r="C195" s="302" t="s">
        <v>613</v>
      </c>
      <c r="D195" s="303" t="str">
        <f>CONCATENATE(B195,"-",C195)</f>
        <v>1961 až 1980-kopility</v>
      </c>
      <c r="E195" s="304">
        <v>2.7</v>
      </c>
      <c r="F195">
        <v>1.5</v>
      </c>
      <c r="G195">
        <v>1.2</v>
      </c>
      <c r="H195">
        <v>0.9</v>
      </c>
      <c r="I195" t="str">
        <f t="shared" si="8"/>
        <v>okna</v>
      </c>
    </row>
    <row r="196" spans="1:9">
      <c r="A196" t="s">
        <v>523</v>
      </c>
      <c r="B196" s="307" t="str">
        <f>ParametryZateplení!$E$6</f>
        <v>1961 až 1980</v>
      </c>
      <c r="C196" s="302" t="s">
        <v>614</v>
      </c>
      <c r="D196" s="303" t="str">
        <f>CONCATENATE(B196,"-",C196)</f>
        <v>1961 až 1980-sklobetonová stěna (luxfery)</v>
      </c>
      <c r="E196" s="304">
        <v>3.1</v>
      </c>
      <c r="F196">
        <v>1.5</v>
      </c>
      <c r="G196">
        <v>1.2</v>
      </c>
      <c r="H196">
        <v>0.9</v>
      </c>
      <c r="I196" t="str">
        <f t="shared" si="8"/>
        <v>okna</v>
      </c>
    </row>
    <row r="197" spans="1:9">
      <c r="A197" t="s">
        <v>523</v>
      </c>
      <c r="B197" s="307" t="str">
        <f>ParametryZateplení!$E$6</f>
        <v>1961 až 1980</v>
      </c>
      <c r="C197" s="302" t="s">
        <v>615</v>
      </c>
      <c r="D197" s="303" t="str">
        <f>CONCATENATE(B197,"-",C197)</f>
        <v>1961 až 1980-okna vyměněná před 2011</v>
      </c>
      <c r="E197" s="304">
        <v>1.7</v>
      </c>
      <c r="F197">
        <v>1.5</v>
      </c>
      <c r="G197">
        <v>1.2</v>
      </c>
      <c r="H197">
        <v>0.9</v>
      </c>
      <c r="I197" t="str">
        <f t="shared" si="8"/>
        <v>okna</v>
      </c>
    </row>
    <row r="198" spans="1:9">
      <c r="A198" t="s">
        <v>523</v>
      </c>
      <c r="B198" s="307" t="str">
        <f>ParametryZateplení!$E$6</f>
        <v>1961 až 1980</v>
      </c>
      <c r="C198" s="302" t="s">
        <v>616</v>
      </c>
      <c r="D198" s="303" t="str">
        <f>CONCATENATE(B198,"-",C198)</f>
        <v>1961 až 1980-okna vyměněná po roce 2011</v>
      </c>
      <c r="E198" s="304">
        <v>1.5</v>
      </c>
      <c r="F198">
        <v>1.5</v>
      </c>
      <c r="G198">
        <v>1.2</v>
      </c>
      <c r="H198">
        <v>0.9</v>
      </c>
      <c r="I198" t="str">
        <f t="shared" si="8"/>
        <v>okna</v>
      </c>
    </row>
    <row r="199" spans="1:9">
      <c r="A199" t="s">
        <v>523</v>
      </c>
      <c r="B199" s="306" t="str">
        <f>ParametryZateplení!$E$7</f>
        <v>1981 až 1994</v>
      </c>
      <c r="C199" s="302" t="s">
        <v>611</v>
      </c>
      <c r="D199" s="303" t="str">
        <f t="shared" si="6"/>
        <v>1981 až 1994-okna dřevěná zdvojená se 2 skly</v>
      </c>
      <c r="E199" s="304">
        <v>2.4</v>
      </c>
      <c r="F199">
        <v>1.5</v>
      </c>
      <c r="G199">
        <v>1.2</v>
      </c>
      <c r="H199">
        <v>0.9</v>
      </c>
      <c r="I199" t="str">
        <f t="shared" si="8"/>
        <v>okna</v>
      </c>
    </row>
    <row r="200" spans="1:9">
      <c r="A200" t="s">
        <v>523</v>
      </c>
      <c r="B200" s="306" t="str">
        <f>ParametryZateplení!$E$7</f>
        <v>1981 až 1994</v>
      </c>
      <c r="C200" s="302" t="s">
        <v>617</v>
      </c>
      <c r="D200" s="303" t="str">
        <f t="shared" si="6"/>
        <v>1981 až 1994-okna dřevěná jednoduchá s izolačním dvojsklem</v>
      </c>
      <c r="E200" s="304">
        <v>2.5</v>
      </c>
      <c r="F200">
        <v>1.5</v>
      </c>
      <c r="G200">
        <v>1.2</v>
      </c>
      <c r="H200">
        <v>0.9</v>
      </c>
      <c r="I200" t="str">
        <f t="shared" si="8"/>
        <v>okna</v>
      </c>
    </row>
    <row r="201" spans="1:9">
      <c r="A201" t="s">
        <v>523</v>
      </c>
      <c r="B201" s="306" t="str">
        <f>ParametryZateplení!$E$7</f>
        <v>1981 až 1994</v>
      </c>
      <c r="C201" s="302" t="s">
        <v>612</v>
      </c>
      <c r="D201" s="303" t="str">
        <f t="shared" si="6"/>
        <v>1981 až 1994-okna kovová zdvojená se 2 skly</v>
      </c>
      <c r="E201" s="304">
        <v>2.8</v>
      </c>
      <c r="F201">
        <v>1.5</v>
      </c>
      <c r="G201">
        <v>1.2</v>
      </c>
      <c r="H201">
        <v>0.9</v>
      </c>
      <c r="I201" t="str">
        <f t="shared" si="8"/>
        <v>okna</v>
      </c>
    </row>
    <row r="202" spans="1:9">
      <c r="A202" t="s">
        <v>523</v>
      </c>
      <c r="B202" s="306" t="str">
        <f>ParametryZateplení!$E$7</f>
        <v>1981 až 1994</v>
      </c>
      <c r="C202" s="302" t="s">
        <v>618</v>
      </c>
      <c r="D202" s="303" t="str">
        <f t="shared" si="6"/>
        <v>1981 až 1994-okna kovová jednoduchá s izolačním dvojsklem</v>
      </c>
      <c r="E202" s="304">
        <v>3.2</v>
      </c>
      <c r="F202">
        <v>1.5</v>
      </c>
      <c r="G202">
        <v>1.2</v>
      </c>
      <c r="H202">
        <v>0.9</v>
      </c>
      <c r="I202" t="str">
        <f t="shared" si="8"/>
        <v>okna</v>
      </c>
    </row>
    <row r="203" spans="1:9">
      <c r="A203" t="s">
        <v>523</v>
      </c>
      <c r="B203" s="306" t="str">
        <f>ParametryZateplení!$E$7</f>
        <v>1981 až 1994</v>
      </c>
      <c r="C203" s="302" t="s">
        <v>613</v>
      </c>
      <c r="D203" s="303" t="str">
        <f t="shared" si="6"/>
        <v>1981 až 1994-kopility</v>
      </c>
      <c r="E203" s="304">
        <v>2.7</v>
      </c>
      <c r="F203">
        <v>1.5</v>
      </c>
      <c r="G203">
        <v>1.2</v>
      </c>
      <c r="H203">
        <v>0.9</v>
      </c>
      <c r="I203" t="str">
        <f t="shared" si="8"/>
        <v>okna</v>
      </c>
    </row>
    <row r="204" spans="1:9">
      <c r="A204" t="s">
        <v>523</v>
      </c>
      <c r="B204" s="306" t="str">
        <f>ParametryZateplení!$E$7</f>
        <v>1981 až 1994</v>
      </c>
      <c r="C204" s="302" t="s">
        <v>614</v>
      </c>
      <c r="D204" s="303" t="str">
        <f t="shared" si="6"/>
        <v>1981 až 1994-sklobetonová stěna (luxfery)</v>
      </c>
      <c r="E204" s="304">
        <v>3.1</v>
      </c>
      <c r="F204">
        <v>1.5</v>
      </c>
      <c r="G204">
        <v>1.2</v>
      </c>
      <c r="H204">
        <v>0.9</v>
      </c>
      <c r="I204" t="str">
        <f t="shared" si="8"/>
        <v>okna</v>
      </c>
    </row>
    <row r="205" spans="1:9">
      <c r="A205" t="s">
        <v>523</v>
      </c>
      <c r="B205" s="306" t="str">
        <f>ParametryZateplení!$E$7</f>
        <v>1981 až 1994</v>
      </c>
      <c r="C205" s="302" t="s">
        <v>619</v>
      </c>
      <c r="D205" s="303" t="str">
        <f>CONCATENATE(B205,"-",C205)</f>
        <v>1981 až 1994-komůrkový polykarbonát</v>
      </c>
      <c r="E205" s="304">
        <v>3.6</v>
      </c>
      <c r="F205">
        <v>1.5</v>
      </c>
      <c r="G205">
        <v>1.2</v>
      </c>
      <c r="H205">
        <v>0.9</v>
      </c>
      <c r="I205" t="str">
        <f t="shared" si="8"/>
        <v>okna</v>
      </c>
    </row>
    <row r="206" spans="1:9">
      <c r="A206" t="s">
        <v>523</v>
      </c>
      <c r="B206" s="306" t="str">
        <f>ParametryZateplení!$E$7</f>
        <v>1981 až 1994</v>
      </c>
      <c r="C206" s="302" t="s">
        <v>620</v>
      </c>
      <c r="D206" s="303" t="str">
        <f>CONCATENATE(B206,"-",C206)</f>
        <v>1981 až 1994-okna nová po roce 2002</v>
      </c>
      <c r="E206" s="304">
        <v>1.7</v>
      </c>
      <c r="F206">
        <v>1.5</v>
      </c>
      <c r="G206">
        <v>1.2</v>
      </c>
      <c r="H206">
        <v>0.9</v>
      </c>
      <c r="I206" t="str">
        <f t="shared" si="8"/>
        <v>okna</v>
      </c>
    </row>
    <row r="207" spans="1:9">
      <c r="A207" t="s">
        <v>523</v>
      </c>
      <c r="B207" s="306" t="str">
        <f>ParametryZateplení!$E$7</f>
        <v>1981 až 1994</v>
      </c>
      <c r="C207" s="302" t="s">
        <v>621</v>
      </c>
      <c r="D207" s="303" t="str">
        <f>CONCATENATE(B207,"-",C207)</f>
        <v>1981 až 1994-okna nová po roce 2011</v>
      </c>
      <c r="E207" s="304">
        <v>1.5</v>
      </c>
      <c r="F207">
        <v>1.5</v>
      </c>
      <c r="G207">
        <v>1.2</v>
      </c>
      <c r="H207">
        <v>0.9</v>
      </c>
      <c r="I207" t="str">
        <f t="shared" si="8"/>
        <v>okna</v>
      </c>
    </row>
    <row r="208" spans="1:9">
      <c r="A208" t="s">
        <v>523</v>
      </c>
      <c r="B208" s="307" t="str">
        <f>ParametryZateplení!$E$8</f>
        <v>1995 a dále</v>
      </c>
      <c r="C208" s="302" t="s">
        <v>622</v>
      </c>
      <c r="D208" s="303" t="str">
        <f t="shared" si="6"/>
        <v>1995 a dále-okna do roku 2002</v>
      </c>
      <c r="E208" s="304">
        <v>1.8</v>
      </c>
      <c r="F208">
        <v>1.5</v>
      </c>
      <c r="G208">
        <v>1.2</v>
      </c>
      <c r="H208">
        <v>0.9</v>
      </c>
      <c r="I208" t="str">
        <f t="shared" si="8"/>
        <v>okna</v>
      </c>
    </row>
    <row r="209" spans="1:9">
      <c r="A209" t="s">
        <v>523</v>
      </c>
      <c r="B209" s="307" t="str">
        <f>ParametryZateplení!$E$8</f>
        <v>1995 a dále</v>
      </c>
      <c r="C209" s="302" t="s">
        <v>620</v>
      </c>
      <c r="D209" s="303" t="str">
        <f>CONCATENATE(B209,"-",C209)</f>
        <v>1995 a dále-okna nová po roce 2002</v>
      </c>
      <c r="E209" s="304">
        <v>1.7</v>
      </c>
      <c r="F209">
        <v>1.5</v>
      </c>
      <c r="G209">
        <v>1.2</v>
      </c>
      <c r="H209">
        <v>0.9</v>
      </c>
      <c r="I209" t="str">
        <f t="shared" si="8"/>
        <v>okna</v>
      </c>
    </row>
    <row r="210" spans="1:9">
      <c r="A210" t="s">
        <v>523</v>
      </c>
      <c r="B210" s="307" t="str">
        <f>ParametryZateplení!$E$8</f>
        <v>1995 a dále</v>
      </c>
      <c r="C210" s="302" t="s">
        <v>621</v>
      </c>
      <c r="D210" s="303" t="str">
        <f>CONCATENATE(B210,"-",C210)</f>
        <v>1995 a dále-okna nová po roce 2011</v>
      </c>
      <c r="E210" s="304">
        <v>1.5</v>
      </c>
      <c r="F210">
        <v>1.5</v>
      </c>
      <c r="G210">
        <v>1.2</v>
      </c>
      <c r="H210">
        <v>0.9</v>
      </c>
      <c r="I210" t="str">
        <f t="shared" si="8"/>
        <v>okna</v>
      </c>
    </row>
    <row r="211" spans="1:9">
      <c r="A211" t="s">
        <v>523</v>
      </c>
      <c r="B211" s="307" t="str">
        <f>ParametryZateplení!$E$8</f>
        <v>1995 a dále</v>
      </c>
      <c r="C211" s="309" t="s">
        <v>623</v>
      </c>
      <c r="D211" s="303" t="str">
        <f t="shared" ref="D211" si="9">CONCATENATE(B211,"-",C211)</f>
        <v xml:space="preserve">1995 a dále-okna repasovaná </v>
      </c>
      <c r="E211" s="304">
        <v>2</v>
      </c>
      <c r="F211">
        <v>1.5</v>
      </c>
      <c r="G211">
        <v>1.2</v>
      </c>
      <c r="H211">
        <v>0.9</v>
      </c>
      <c r="I211" t="str">
        <f t="shared" si="8"/>
        <v>okna</v>
      </c>
    </row>
    <row r="212" spans="1:9">
      <c r="A212" t="s">
        <v>523</v>
      </c>
      <c r="B212" s="307" t="str">
        <f>ParametryZateplení!$E$8</f>
        <v>1995 a dále</v>
      </c>
      <c r="C212" s="302" t="s">
        <v>624</v>
      </c>
      <c r="D212" s="303" t="str">
        <f>CONCATENATE(B212,"-",C212)</f>
        <v>1995 a dále-komůrkový polykarbonát tl. 16 mm</v>
      </c>
      <c r="E212" s="304">
        <v>2</v>
      </c>
      <c r="F212">
        <v>1.5</v>
      </c>
      <c r="G212">
        <v>1.2</v>
      </c>
      <c r="H212">
        <v>0.9</v>
      </c>
      <c r="I212" t="str">
        <f t="shared" si="8"/>
        <v>okna</v>
      </c>
    </row>
    <row r="213" spans="1:9">
      <c r="A213" t="s">
        <v>523</v>
      </c>
      <c r="B213" s="307" t="str">
        <f>ParametryZateplení!$E$8</f>
        <v>1995 a dále</v>
      </c>
      <c r="C213" s="302" t="s">
        <v>625</v>
      </c>
      <c r="D213" s="303" t="str">
        <f>CONCATENATE(B213,"-",C213)</f>
        <v>1995 a dále-komůrkový polykarbonát tl. 25 mm</v>
      </c>
      <c r="E213" s="304">
        <v>1.5</v>
      </c>
      <c r="F213">
        <v>1.5</v>
      </c>
      <c r="G213">
        <v>1.2</v>
      </c>
      <c r="H213">
        <v>0.9</v>
      </c>
      <c r="I213" t="str">
        <f t="shared" si="8"/>
        <v>okna</v>
      </c>
    </row>
    <row r="214" spans="1:9">
      <c r="A214" t="s">
        <v>523</v>
      </c>
      <c r="B214" s="307" t="str">
        <f>ParametryZateplení!$E$8</f>
        <v>1995 a dále</v>
      </c>
      <c r="C214" s="302" t="s">
        <v>626</v>
      </c>
      <c r="D214" s="303" t="str">
        <f t="shared" ref="D214:D277" si="10">CONCATENATE(B214,"-",C214)</f>
        <v>1995 a dále-komůrkový polykarbonát tl. 32 mm</v>
      </c>
      <c r="E214" s="304">
        <v>1.3</v>
      </c>
      <c r="F214">
        <v>1.5</v>
      </c>
      <c r="G214">
        <v>1.2</v>
      </c>
      <c r="H214">
        <v>0.9</v>
      </c>
      <c r="I214" t="str">
        <f t="shared" si="8"/>
        <v>okna</v>
      </c>
    </row>
    <row r="215" spans="1:9">
      <c r="A215" t="s">
        <v>530</v>
      </c>
      <c r="B215" s="301" t="str">
        <f>ParametryZateplení!$E$3</f>
        <v>do 1920</v>
      </c>
      <c r="C215" s="286" t="s">
        <v>627</v>
      </c>
      <c r="D215" s="295" t="str">
        <f t="shared" si="10"/>
        <v>do 1920-dveře dřevěné prosklené s 1 sklem</v>
      </c>
      <c r="E215" s="312">
        <v>4</v>
      </c>
      <c r="F215">
        <v>1.7</v>
      </c>
      <c r="G215">
        <v>1.2</v>
      </c>
      <c r="H215">
        <v>1</v>
      </c>
      <c r="I215" t="str">
        <f>$J$20</f>
        <v>dveře</v>
      </c>
    </row>
    <row r="216" spans="1:9">
      <c r="A216" t="s">
        <v>530</v>
      </c>
      <c r="B216" s="301" t="str">
        <f>ParametryZateplení!$E$3</f>
        <v>do 1920</v>
      </c>
      <c r="C216" s="313" t="s">
        <v>728</v>
      </c>
      <c r="D216" s="295" t="str">
        <f t="shared" si="10"/>
        <v>do 1920-dveře dřevěné prosklené izolačním dvojsklem</v>
      </c>
      <c r="E216" s="312">
        <v>3</v>
      </c>
      <c r="F216">
        <v>1.7</v>
      </c>
      <c r="G216">
        <v>1.2</v>
      </c>
      <c r="H216">
        <v>1</v>
      </c>
      <c r="I216" t="str">
        <f t="shared" ref="I216:I256" si="11">$J$20</f>
        <v>dveře</v>
      </c>
    </row>
    <row r="217" spans="1:9">
      <c r="A217" t="s">
        <v>530</v>
      </c>
      <c r="B217" s="301" t="str">
        <f>ParametryZateplení!$E$3</f>
        <v>do 1920</v>
      </c>
      <c r="C217" s="313" t="s">
        <v>628</v>
      </c>
      <c r="D217" s="295" t="str">
        <f t="shared" si="10"/>
        <v>do 1920-dveře dřevěné plné</v>
      </c>
      <c r="E217" s="312">
        <v>2.2999999999999998</v>
      </c>
      <c r="F217">
        <v>1.7</v>
      </c>
      <c r="G217">
        <v>1.2</v>
      </c>
      <c r="H217">
        <v>1</v>
      </c>
      <c r="I217" t="str">
        <f t="shared" si="11"/>
        <v>dveře</v>
      </c>
    </row>
    <row r="218" spans="1:9">
      <c r="A218" t="s">
        <v>530</v>
      </c>
      <c r="B218" s="301" t="str">
        <f>ParametryZateplení!$E$3</f>
        <v>do 1920</v>
      </c>
      <c r="C218" s="313" t="s">
        <v>629</v>
      </c>
      <c r="D218" s="295" t="str">
        <f t="shared" si="10"/>
        <v>do 1920-dveře kovové prosklené s 1 sklem</v>
      </c>
      <c r="E218" s="312">
        <v>5.65</v>
      </c>
      <c r="F218">
        <v>1.7</v>
      </c>
      <c r="G218">
        <v>1.2</v>
      </c>
      <c r="H218">
        <v>1</v>
      </c>
      <c r="I218" t="str">
        <f t="shared" si="11"/>
        <v>dveře</v>
      </c>
    </row>
    <row r="219" spans="1:9">
      <c r="A219" t="s">
        <v>530</v>
      </c>
      <c r="B219" s="301" t="str">
        <f>ParametryZateplení!$E$3</f>
        <v>do 1920</v>
      </c>
      <c r="C219" s="313" t="s">
        <v>729</v>
      </c>
      <c r="D219" s="295" t="str">
        <f t="shared" si="10"/>
        <v>do 1920-dveře kovové prosklené izolačním dvojsklem</v>
      </c>
      <c r="E219" s="312">
        <v>5</v>
      </c>
      <c r="F219">
        <v>1.7</v>
      </c>
      <c r="G219">
        <v>1.2</v>
      </c>
      <c r="H219">
        <v>1</v>
      </c>
      <c r="I219" t="str">
        <f t="shared" si="11"/>
        <v>dveře</v>
      </c>
    </row>
    <row r="220" spans="1:9">
      <c r="A220" t="s">
        <v>530</v>
      </c>
      <c r="B220" s="301" t="str">
        <f>ParametryZateplení!$E$3</f>
        <v>do 1920</v>
      </c>
      <c r="C220" s="313" t="s">
        <v>630</v>
      </c>
      <c r="D220" s="295" t="str">
        <f t="shared" si="10"/>
        <v>do 1920-dveře/vrata kovová plná</v>
      </c>
      <c r="E220" s="312">
        <v>5.65</v>
      </c>
      <c r="F220">
        <v>1.7</v>
      </c>
      <c r="G220">
        <v>1.2</v>
      </c>
      <c r="H220">
        <v>1</v>
      </c>
      <c r="I220" t="str">
        <f t="shared" si="11"/>
        <v>dveře</v>
      </c>
    </row>
    <row r="221" spans="1:9">
      <c r="A221" t="s">
        <v>530</v>
      </c>
      <c r="B221" s="301" t="str">
        <f>ParametryZateplení!$E$3</f>
        <v>do 1920</v>
      </c>
      <c r="C221" s="314" t="s">
        <v>631</v>
      </c>
      <c r="D221" s="315" t="str">
        <f t="shared" si="10"/>
        <v>do 1920-vrata sekční tepelně izolační</v>
      </c>
      <c r="E221" s="316">
        <v>2</v>
      </c>
      <c r="F221">
        <v>1.7</v>
      </c>
      <c r="G221">
        <v>1.2</v>
      </c>
      <c r="H221">
        <v>1.2</v>
      </c>
      <c r="I221" t="str">
        <f t="shared" si="11"/>
        <v>dveře</v>
      </c>
    </row>
    <row r="222" spans="1:9">
      <c r="A222" t="s">
        <v>530</v>
      </c>
      <c r="B222" s="306" t="str">
        <f>ParametryZateplení!$E$4</f>
        <v>1921 až 1945</v>
      </c>
      <c r="C222" s="317" t="s">
        <v>627</v>
      </c>
      <c r="D222" s="303" t="str">
        <f t="shared" si="10"/>
        <v>1921 až 1945-dveře dřevěné prosklené s 1 sklem</v>
      </c>
      <c r="E222" s="318">
        <v>4</v>
      </c>
      <c r="F222">
        <v>1.7</v>
      </c>
      <c r="G222">
        <v>1.2</v>
      </c>
      <c r="H222">
        <v>1</v>
      </c>
      <c r="I222" t="str">
        <f t="shared" si="11"/>
        <v>dveře</v>
      </c>
    </row>
    <row r="223" spans="1:9">
      <c r="A223" t="s">
        <v>530</v>
      </c>
      <c r="B223" s="306" t="str">
        <f>ParametryZateplení!$E$4</f>
        <v>1921 až 1945</v>
      </c>
      <c r="C223" s="317" t="s">
        <v>728</v>
      </c>
      <c r="D223" s="303" t="str">
        <f t="shared" si="10"/>
        <v>1921 až 1945-dveře dřevěné prosklené izolačním dvojsklem</v>
      </c>
      <c r="E223" s="318">
        <v>3</v>
      </c>
      <c r="F223">
        <v>1.7</v>
      </c>
      <c r="G223">
        <v>1.2</v>
      </c>
      <c r="H223">
        <v>1</v>
      </c>
      <c r="I223" t="str">
        <f t="shared" si="11"/>
        <v>dveře</v>
      </c>
    </row>
    <row r="224" spans="1:9">
      <c r="A224" t="s">
        <v>530</v>
      </c>
      <c r="B224" s="306" t="str">
        <f>ParametryZateplení!$E$4</f>
        <v>1921 až 1945</v>
      </c>
      <c r="C224" s="317" t="s">
        <v>628</v>
      </c>
      <c r="D224" s="303" t="str">
        <f t="shared" si="10"/>
        <v>1921 až 1945-dveře dřevěné plné</v>
      </c>
      <c r="E224" s="318">
        <v>2.2999999999999998</v>
      </c>
      <c r="F224">
        <v>1.7</v>
      </c>
      <c r="G224">
        <v>1.2</v>
      </c>
      <c r="H224">
        <v>1</v>
      </c>
      <c r="I224" t="str">
        <f t="shared" si="11"/>
        <v>dveře</v>
      </c>
    </row>
    <row r="225" spans="1:9">
      <c r="A225" t="s">
        <v>530</v>
      </c>
      <c r="B225" s="306" t="str">
        <f>ParametryZateplení!$E$4</f>
        <v>1921 až 1945</v>
      </c>
      <c r="C225" s="317" t="s">
        <v>629</v>
      </c>
      <c r="D225" s="303" t="str">
        <f t="shared" si="10"/>
        <v>1921 až 1945-dveře kovové prosklené s 1 sklem</v>
      </c>
      <c r="E225" s="318">
        <v>5.65</v>
      </c>
      <c r="F225">
        <v>1.7</v>
      </c>
      <c r="G225">
        <v>1.2</v>
      </c>
      <c r="H225">
        <v>1</v>
      </c>
      <c r="I225" t="str">
        <f t="shared" si="11"/>
        <v>dveře</v>
      </c>
    </row>
    <row r="226" spans="1:9">
      <c r="A226" t="s">
        <v>530</v>
      </c>
      <c r="B226" s="306" t="str">
        <f>ParametryZateplení!$E$4</f>
        <v>1921 až 1945</v>
      </c>
      <c r="C226" s="317" t="s">
        <v>729</v>
      </c>
      <c r="D226" s="303" t="str">
        <f t="shared" si="10"/>
        <v>1921 až 1945-dveře kovové prosklené izolačním dvojsklem</v>
      </c>
      <c r="E226" s="318">
        <v>5</v>
      </c>
      <c r="F226">
        <v>1.7</v>
      </c>
      <c r="G226">
        <v>1.2</v>
      </c>
      <c r="H226">
        <v>1</v>
      </c>
      <c r="I226" t="str">
        <f t="shared" si="11"/>
        <v>dveře</v>
      </c>
    </row>
    <row r="227" spans="1:9">
      <c r="A227" t="s">
        <v>530</v>
      </c>
      <c r="B227" s="306" t="str">
        <f>ParametryZateplení!$E$4</f>
        <v>1921 až 1945</v>
      </c>
      <c r="C227" s="317" t="s">
        <v>630</v>
      </c>
      <c r="D227" s="303" t="str">
        <f t="shared" si="10"/>
        <v>1921 až 1945-dveře/vrata kovová plná</v>
      </c>
      <c r="E227" s="318">
        <v>5.65</v>
      </c>
      <c r="F227">
        <v>1.7</v>
      </c>
      <c r="G227">
        <v>1.2</v>
      </c>
      <c r="H227">
        <v>1</v>
      </c>
      <c r="I227" t="str">
        <f t="shared" si="11"/>
        <v>dveře</v>
      </c>
    </row>
    <row r="228" spans="1:9">
      <c r="A228" t="s">
        <v>530</v>
      </c>
      <c r="B228" s="306" t="str">
        <f>ParametryZateplení!$E$4</f>
        <v>1921 až 1945</v>
      </c>
      <c r="C228" s="314" t="s">
        <v>631</v>
      </c>
      <c r="D228" s="315" t="str">
        <f t="shared" si="10"/>
        <v>1921 až 1945-vrata sekční tepelně izolační</v>
      </c>
      <c r="E228" s="316">
        <v>2</v>
      </c>
      <c r="F228">
        <v>1.7</v>
      </c>
      <c r="G228">
        <v>1.2</v>
      </c>
      <c r="H228">
        <v>1.2</v>
      </c>
      <c r="I228" t="str">
        <f t="shared" si="11"/>
        <v>dveře</v>
      </c>
    </row>
    <row r="229" spans="1:9">
      <c r="A229" t="s">
        <v>530</v>
      </c>
      <c r="B229" s="306" t="str">
        <f>ParametryZateplení!$E$5</f>
        <v>1946 až 1960</v>
      </c>
      <c r="C229" s="317" t="s">
        <v>627</v>
      </c>
      <c r="D229" s="303" t="str">
        <f t="shared" si="10"/>
        <v>1946 až 1960-dveře dřevěné prosklené s 1 sklem</v>
      </c>
      <c r="E229" s="318">
        <v>4</v>
      </c>
      <c r="F229">
        <v>1.7</v>
      </c>
      <c r="G229">
        <v>1.2</v>
      </c>
      <c r="H229">
        <v>1</v>
      </c>
      <c r="I229" t="str">
        <f t="shared" si="11"/>
        <v>dveře</v>
      </c>
    </row>
    <row r="230" spans="1:9">
      <c r="A230" t="s">
        <v>530</v>
      </c>
      <c r="B230" s="306" t="str">
        <f>ParametryZateplení!$E$5</f>
        <v>1946 až 1960</v>
      </c>
      <c r="C230" s="317" t="s">
        <v>728</v>
      </c>
      <c r="D230" s="303" t="str">
        <f t="shared" si="10"/>
        <v>1946 až 1960-dveře dřevěné prosklené izolačním dvojsklem</v>
      </c>
      <c r="E230" s="318">
        <v>3</v>
      </c>
      <c r="F230">
        <v>1.7</v>
      </c>
      <c r="G230">
        <v>1.2</v>
      </c>
      <c r="H230">
        <v>1</v>
      </c>
      <c r="I230" t="str">
        <f t="shared" si="11"/>
        <v>dveře</v>
      </c>
    </row>
    <row r="231" spans="1:9">
      <c r="A231" t="s">
        <v>530</v>
      </c>
      <c r="B231" s="306" t="str">
        <f>ParametryZateplení!$E$5</f>
        <v>1946 až 1960</v>
      </c>
      <c r="C231" s="317" t="s">
        <v>628</v>
      </c>
      <c r="D231" s="303" t="str">
        <f t="shared" si="10"/>
        <v>1946 až 1960-dveře dřevěné plné</v>
      </c>
      <c r="E231" s="318">
        <v>2.2999999999999998</v>
      </c>
      <c r="F231">
        <v>1.7</v>
      </c>
      <c r="G231">
        <v>1.2</v>
      </c>
      <c r="H231">
        <v>1</v>
      </c>
      <c r="I231" t="str">
        <f t="shared" si="11"/>
        <v>dveře</v>
      </c>
    </row>
    <row r="232" spans="1:9">
      <c r="A232" t="s">
        <v>530</v>
      </c>
      <c r="B232" s="306" t="str">
        <f>ParametryZateplení!$E$5</f>
        <v>1946 až 1960</v>
      </c>
      <c r="C232" s="317" t="s">
        <v>629</v>
      </c>
      <c r="D232" s="303" t="str">
        <f t="shared" si="10"/>
        <v>1946 až 1960-dveře kovové prosklené s 1 sklem</v>
      </c>
      <c r="E232" s="318">
        <v>5.65</v>
      </c>
      <c r="F232">
        <v>1.7</v>
      </c>
      <c r="G232">
        <v>1.2</v>
      </c>
      <c r="H232">
        <v>1</v>
      </c>
      <c r="I232" t="str">
        <f t="shared" si="11"/>
        <v>dveře</v>
      </c>
    </row>
    <row r="233" spans="1:9">
      <c r="A233" t="s">
        <v>530</v>
      </c>
      <c r="B233" s="306" t="str">
        <f>ParametryZateplení!$E$5</f>
        <v>1946 až 1960</v>
      </c>
      <c r="C233" s="317" t="s">
        <v>729</v>
      </c>
      <c r="D233" s="303" t="str">
        <f t="shared" si="10"/>
        <v>1946 až 1960-dveře kovové prosklené izolačním dvojsklem</v>
      </c>
      <c r="E233" s="318">
        <v>5</v>
      </c>
      <c r="F233">
        <v>1.7</v>
      </c>
      <c r="G233">
        <v>1.2</v>
      </c>
      <c r="H233">
        <v>1</v>
      </c>
      <c r="I233" t="str">
        <f t="shared" si="11"/>
        <v>dveře</v>
      </c>
    </row>
    <row r="234" spans="1:9">
      <c r="A234" t="s">
        <v>530</v>
      </c>
      <c r="B234" s="306" t="str">
        <f>ParametryZateplení!$E$5</f>
        <v>1946 až 1960</v>
      </c>
      <c r="C234" s="317" t="s">
        <v>630</v>
      </c>
      <c r="D234" s="303" t="str">
        <f t="shared" si="10"/>
        <v>1946 až 1960-dveře/vrata kovová plná</v>
      </c>
      <c r="E234" s="318">
        <v>5.65</v>
      </c>
      <c r="F234">
        <v>1.7</v>
      </c>
      <c r="G234">
        <v>1.2</v>
      </c>
      <c r="H234">
        <v>1</v>
      </c>
      <c r="I234" t="str">
        <f t="shared" si="11"/>
        <v>dveře</v>
      </c>
    </row>
    <row r="235" spans="1:9">
      <c r="A235" t="s">
        <v>530</v>
      </c>
      <c r="B235" s="306" t="str">
        <f>ParametryZateplení!$E$5</f>
        <v>1946 až 1960</v>
      </c>
      <c r="C235" s="314" t="s">
        <v>631</v>
      </c>
      <c r="D235" s="315" t="str">
        <f t="shared" si="10"/>
        <v>1946 až 1960-vrata sekční tepelně izolační</v>
      </c>
      <c r="E235" s="316">
        <v>2</v>
      </c>
      <c r="F235">
        <v>1.7</v>
      </c>
      <c r="G235">
        <v>1.2</v>
      </c>
      <c r="H235">
        <v>1.2</v>
      </c>
      <c r="I235" t="str">
        <f t="shared" si="11"/>
        <v>dveře</v>
      </c>
    </row>
    <row r="236" spans="1:9">
      <c r="A236" t="s">
        <v>530</v>
      </c>
      <c r="B236" s="307" t="str">
        <f>ParametryZateplení!$E$6</f>
        <v>1961 až 1980</v>
      </c>
      <c r="C236" s="317" t="s">
        <v>627</v>
      </c>
      <c r="D236" s="303" t="str">
        <f t="shared" si="10"/>
        <v>1961 až 1980-dveře dřevěné prosklené s 1 sklem</v>
      </c>
      <c r="E236" s="318">
        <v>4</v>
      </c>
      <c r="F236">
        <v>1.7</v>
      </c>
      <c r="G236">
        <v>1.2</v>
      </c>
      <c r="H236">
        <v>1</v>
      </c>
      <c r="I236" t="str">
        <f t="shared" si="11"/>
        <v>dveře</v>
      </c>
    </row>
    <row r="237" spans="1:9">
      <c r="A237" t="s">
        <v>530</v>
      </c>
      <c r="B237" s="307" t="str">
        <f>ParametryZateplení!$E$6</f>
        <v>1961 až 1980</v>
      </c>
      <c r="C237" s="317" t="s">
        <v>728</v>
      </c>
      <c r="D237" s="303" t="str">
        <f t="shared" si="10"/>
        <v>1961 až 1980-dveře dřevěné prosklené izolačním dvojsklem</v>
      </c>
      <c r="E237" s="318">
        <v>2.2999999999999998</v>
      </c>
      <c r="F237">
        <v>1.7</v>
      </c>
      <c r="G237">
        <v>1.2</v>
      </c>
      <c r="H237">
        <v>1</v>
      </c>
      <c r="I237" t="str">
        <f t="shared" si="11"/>
        <v>dveře</v>
      </c>
    </row>
    <row r="238" spans="1:9">
      <c r="A238" t="s">
        <v>530</v>
      </c>
      <c r="B238" s="307" t="str">
        <f>ParametryZateplení!$E$6</f>
        <v>1961 až 1980</v>
      </c>
      <c r="C238" s="317" t="s">
        <v>628</v>
      </c>
      <c r="D238" s="303" t="str">
        <f t="shared" si="10"/>
        <v>1961 až 1980-dveře dřevěné plné</v>
      </c>
      <c r="E238" s="318">
        <v>4</v>
      </c>
      <c r="F238">
        <v>1.7</v>
      </c>
      <c r="G238">
        <v>1.2</v>
      </c>
      <c r="H238">
        <v>1</v>
      </c>
      <c r="I238" t="str">
        <f t="shared" si="11"/>
        <v>dveře</v>
      </c>
    </row>
    <row r="239" spans="1:9">
      <c r="A239" t="s">
        <v>530</v>
      </c>
      <c r="B239" s="307" t="str">
        <f>ParametryZateplení!$E$6</f>
        <v>1961 až 1980</v>
      </c>
      <c r="C239" s="317" t="s">
        <v>629</v>
      </c>
      <c r="D239" s="303" t="str">
        <f t="shared" si="10"/>
        <v>1961 až 1980-dveře kovové prosklené s 1 sklem</v>
      </c>
      <c r="E239" s="318">
        <v>5.65</v>
      </c>
      <c r="F239">
        <v>1.7</v>
      </c>
      <c r="G239">
        <v>1.2</v>
      </c>
      <c r="H239">
        <v>1</v>
      </c>
      <c r="I239" t="str">
        <f t="shared" si="11"/>
        <v>dveře</v>
      </c>
    </row>
    <row r="240" spans="1:9">
      <c r="A240" t="s">
        <v>530</v>
      </c>
      <c r="B240" s="307" t="str">
        <f>ParametryZateplení!$E$6</f>
        <v>1961 až 1980</v>
      </c>
      <c r="C240" s="317" t="s">
        <v>729</v>
      </c>
      <c r="D240" s="303" t="str">
        <f t="shared" si="10"/>
        <v>1961 až 1980-dveře kovové prosklené izolačním dvojsklem</v>
      </c>
      <c r="E240" s="318">
        <v>3.5</v>
      </c>
      <c r="F240">
        <v>1.7</v>
      </c>
      <c r="G240">
        <v>1.2</v>
      </c>
      <c r="H240">
        <v>1</v>
      </c>
      <c r="I240" t="str">
        <f t="shared" si="11"/>
        <v>dveře</v>
      </c>
    </row>
    <row r="241" spans="1:9">
      <c r="A241" t="s">
        <v>530</v>
      </c>
      <c r="B241" s="307" t="str">
        <f>ParametryZateplení!$E$6</f>
        <v>1961 až 1980</v>
      </c>
      <c r="C241" s="317" t="s">
        <v>630</v>
      </c>
      <c r="D241" s="303" t="str">
        <f t="shared" si="10"/>
        <v>1961 až 1980-dveře/vrata kovová plná</v>
      </c>
      <c r="E241" s="318">
        <v>5.65</v>
      </c>
      <c r="F241">
        <v>1.7</v>
      </c>
      <c r="G241">
        <v>1.2</v>
      </c>
      <c r="H241">
        <v>1</v>
      </c>
      <c r="I241" t="str">
        <f t="shared" si="11"/>
        <v>dveře</v>
      </c>
    </row>
    <row r="242" spans="1:9">
      <c r="A242" t="s">
        <v>530</v>
      </c>
      <c r="B242" s="307" t="str">
        <f>ParametryZateplení!$E$6</f>
        <v>1961 až 1980</v>
      </c>
      <c r="C242" s="314" t="s">
        <v>631</v>
      </c>
      <c r="D242" s="303" t="str">
        <f t="shared" si="10"/>
        <v>1961 až 1980-vrata sekční tepelně izolační</v>
      </c>
      <c r="E242" s="316">
        <v>2</v>
      </c>
      <c r="F242">
        <v>1.7</v>
      </c>
      <c r="G242">
        <v>1.2</v>
      </c>
      <c r="H242">
        <v>1.2</v>
      </c>
      <c r="I242" t="str">
        <f t="shared" si="11"/>
        <v>dveře</v>
      </c>
    </row>
    <row r="243" spans="1:9">
      <c r="A243" t="s">
        <v>530</v>
      </c>
      <c r="B243" s="306" t="str">
        <f>ParametryZateplení!$E$7</f>
        <v>1981 až 1994</v>
      </c>
      <c r="C243" s="317" t="s">
        <v>627</v>
      </c>
      <c r="D243" s="303" t="str">
        <f t="shared" si="10"/>
        <v>1981 až 1994-dveře dřevěné prosklené s 1 sklem</v>
      </c>
      <c r="E243" s="318">
        <v>4</v>
      </c>
      <c r="F243">
        <v>1.7</v>
      </c>
      <c r="G243">
        <v>1.2</v>
      </c>
      <c r="H243">
        <v>1</v>
      </c>
      <c r="I243" t="str">
        <f t="shared" si="11"/>
        <v>dveře</v>
      </c>
    </row>
    <row r="244" spans="1:9">
      <c r="A244" t="s">
        <v>530</v>
      </c>
      <c r="B244" s="306" t="str">
        <f>ParametryZateplení!$E$7</f>
        <v>1981 až 1994</v>
      </c>
      <c r="C244" s="317" t="s">
        <v>728</v>
      </c>
      <c r="D244" s="303" t="str">
        <f>CONCATENATE(B244,"-",C244)</f>
        <v>1981 až 1994-dveře dřevěné prosklené izolačním dvojsklem</v>
      </c>
      <c r="E244" s="318">
        <v>3</v>
      </c>
      <c r="F244">
        <v>1.7</v>
      </c>
      <c r="G244">
        <v>1.2</v>
      </c>
      <c r="H244">
        <v>1</v>
      </c>
      <c r="I244" t="str">
        <f t="shared" si="11"/>
        <v>dveře</v>
      </c>
    </row>
    <row r="245" spans="1:9">
      <c r="A245" t="s">
        <v>530</v>
      </c>
      <c r="B245" s="306" t="str">
        <f>ParametryZateplení!$E$7</f>
        <v>1981 až 1994</v>
      </c>
      <c r="C245" s="317" t="s">
        <v>628</v>
      </c>
      <c r="D245" s="303" t="str">
        <f t="shared" si="10"/>
        <v>1981 až 1994-dveře dřevěné plné</v>
      </c>
      <c r="E245" s="318">
        <v>2.2999999999999998</v>
      </c>
      <c r="F245">
        <v>1.7</v>
      </c>
      <c r="G245">
        <v>1.2</v>
      </c>
      <c r="H245">
        <v>1</v>
      </c>
      <c r="I245" t="str">
        <f t="shared" si="11"/>
        <v>dveře</v>
      </c>
    </row>
    <row r="246" spans="1:9">
      <c r="A246" t="s">
        <v>530</v>
      </c>
      <c r="B246" s="306" t="str">
        <f>ParametryZateplení!$E$7</f>
        <v>1981 až 1994</v>
      </c>
      <c r="C246" s="317" t="s">
        <v>629</v>
      </c>
      <c r="D246" s="303" t="str">
        <f t="shared" si="10"/>
        <v>1981 až 1994-dveře kovové prosklené s 1 sklem</v>
      </c>
      <c r="E246" s="318">
        <v>5.65</v>
      </c>
      <c r="F246">
        <v>1.7</v>
      </c>
      <c r="G246">
        <v>1.2</v>
      </c>
      <c r="H246">
        <v>1</v>
      </c>
      <c r="I246" t="str">
        <f t="shared" si="11"/>
        <v>dveře</v>
      </c>
    </row>
    <row r="247" spans="1:9">
      <c r="A247" t="s">
        <v>530</v>
      </c>
      <c r="B247" s="306" t="str">
        <f>ParametryZateplení!$E$7</f>
        <v>1981 až 1994</v>
      </c>
      <c r="C247" s="317" t="s">
        <v>729</v>
      </c>
      <c r="D247" s="303" t="str">
        <f>CONCATENATE(B247,"-",C247)</f>
        <v>1981 až 1994-dveře kovové prosklené izolačním dvojsklem</v>
      </c>
      <c r="E247" s="318">
        <v>3.5</v>
      </c>
      <c r="F247">
        <v>1.7</v>
      </c>
      <c r="G247">
        <v>1.2</v>
      </c>
      <c r="H247">
        <v>1</v>
      </c>
      <c r="I247" t="str">
        <f t="shared" si="11"/>
        <v>dveře</v>
      </c>
    </row>
    <row r="248" spans="1:9">
      <c r="A248" t="s">
        <v>530</v>
      </c>
      <c r="B248" s="306" t="str">
        <f>ParametryZateplení!$E$7</f>
        <v>1981 až 1994</v>
      </c>
      <c r="C248" s="317" t="s">
        <v>630</v>
      </c>
      <c r="D248" s="303" t="str">
        <f>CONCATENATE(B248,"-",C248)</f>
        <v>1981 až 1994-dveře/vrata kovová plná</v>
      </c>
      <c r="E248" s="318">
        <v>5.65</v>
      </c>
      <c r="F248">
        <v>1.7</v>
      </c>
      <c r="G248">
        <v>1.2</v>
      </c>
      <c r="H248">
        <v>1</v>
      </c>
      <c r="I248" t="str">
        <f t="shared" si="11"/>
        <v>dveře</v>
      </c>
    </row>
    <row r="249" spans="1:9">
      <c r="A249" t="s">
        <v>530</v>
      </c>
      <c r="B249" s="306" t="str">
        <f>ParametryZateplení!$E$7</f>
        <v>1981 až 1994</v>
      </c>
      <c r="C249" s="314" t="s">
        <v>631</v>
      </c>
      <c r="D249" s="303" t="str">
        <f t="shared" si="10"/>
        <v>1981 až 1994-vrata sekční tepelně izolační</v>
      </c>
      <c r="E249" s="318">
        <v>2</v>
      </c>
      <c r="F249">
        <v>1.7</v>
      </c>
      <c r="G249">
        <v>1.2</v>
      </c>
      <c r="H249">
        <v>1.2</v>
      </c>
      <c r="I249" t="str">
        <f t="shared" si="11"/>
        <v>dveře</v>
      </c>
    </row>
    <row r="250" spans="1:9">
      <c r="A250" t="s">
        <v>530</v>
      </c>
      <c r="B250" s="307" t="str">
        <f>ParametryZateplení!$E$8</f>
        <v>1995 a dále</v>
      </c>
      <c r="C250" s="317" t="s">
        <v>627</v>
      </c>
      <c r="D250" s="303" t="str">
        <f t="shared" si="10"/>
        <v>1995 a dále-dveře dřevěné prosklené s 1 sklem</v>
      </c>
      <c r="E250" s="318">
        <v>4</v>
      </c>
      <c r="F250">
        <v>1.7</v>
      </c>
      <c r="G250">
        <v>1.2</v>
      </c>
      <c r="H250">
        <v>1</v>
      </c>
      <c r="I250" t="str">
        <f t="shared" si="11"/>
        <v>dveře</v>
      </c>
    </row>
    <row r="251" spans="1:9">
      <c r="A251" t="s">
        <v>530</v>
      </c>
      <c r="B251" s="307" t="str">
        <f>ParametryZateplení!$E$8</f>
        <v>1995 a dále</v>
      </c>
      <c r="C251" s="317" t="s">
        <v>728</v>
      </c>
      <c r="D251" s="303" t="str">
        <f t="shared" si="10"/>
        <v>1995 a dále-dveře dřevěné prosklené izolačním dvojsklem</v>
      </c>
      <c r="E251" s="318">
        <v>3</v>
      </c>
      <c r="F251">
        <v>1.7</v>
      </c>
      <c r="G251">
        <v>1.2</v>
      </c>
      <c r="H251">
        <v>1</v>
      </c>
      <c r="I251" t="str">
        <f t="shared" si="11"/>
        <v>dveře</v>
      </c>
    </row>
    <row r="252" spans="1:9">
      <c r="A252" t="s">
        <v>530</v>
      </c>
      <c r="B252" s="307" t="str">
        <f>ParametryZateplení!$E$8</f>
        <v>1995 a dále</v>
      </c>
      <c r="C252" s="317" t="s">
        <v>628</v>
      </c>
      <c r="D252" s="303" t="str">
        <f t="shared" si="10"/>
        <v>1995 a dále-dveře dřevěné plné</v>
      </c>
      <c r="E252" s="318">
        <v>2.2999999999999998</v>
      </c>
      <c r="F252">
        <v>1.7</v>
      </c>
      <c r="G252">
        <v>1.2</v>
      </c>
      <c r="H252">
        <v>1</v>
      </c>
      <c r="I252" t="str">
        <f t="shared" si="11"/>
        <v>dveře</v>
      </c>
    </row>
    <row r="253" spans="1:9">
      <c r="A253" t="s">
        <v>530</v>
      </c>
      <c r="B253" s="307" t="str">
        <f>ParametryZateplení!$E$8</f>
        <v>1995 a dále</v>
      </c>
      <c r="C253" s="317" t="s">
        <v>629</v>
      </c>
      <c r="D253" s="303" t="str">
        <f t="shared" si="10"/>
        <v>1995 a dále-dveře kovové prosklené s 1 sklem</v>
      </c>
      <c r="E253" s="318">
        <v>5.65</v>
      </c>
      <c r="F253">
        <v>1.7</v>
      </c>
      <c r="G253">
        <v>1.2</v>
      </c>
      <c r="H253">
        <v>1</v>
      </c>
      <c r="I253" t="str">
        <f t="shared" si="11"/>
        <v>dveře</v>
      </c>
    </row>
    <row r="254" spans="1:9">
      <c r="A254" t="s">
        <v>530</v>
      </c>
      <c r="B254" s="307" t="str">
        <f>ParametryZateplení!$E$8</f>
        <v>1995 a dále</v>
      </c>
      <c r="C254" s="317" t="s">
        <v>729</v>
      </c>
      <c r="D254" s="303" t="str">
        <f t="shared" si="10"/>
        <v>1995 a dále-dveře kovové prosklené izolačním dvojsklem</v>
      </c>
      <c r="E254" s="318">
        <v>3.5</v>
      </c>
      <c r="F254">
        <v>1.7</v>
      </c>
      <c r="G254">
        <v>1.2</v>
      </c>
      <c r="H254">
        <v>1</v>
      </c>
      <c r="I254" t="str">
        <f t="shared" si="11"/>
        <v>dveře</v>
      </c>
    </row>
    <row r="255" spans="1:9">
      <c r="A255" t="s">
        <v>530</v>
      </c>
      <c r="B255" s="307" t="str">
        <f>ParametryZateplení!$E$8</f>
        <v>1995 a dále</v>
      </c>
      <c r="C255" s="317" t="s">
        <v>630</v>
      </c>
      <c r="D255" s="303" t="str">
        <f t="shared" si="10"/>
        <v>1995 a dále-dveře/vrata kovová plná</v>
      </c>
      <c r="E255" s="318">
        <v>5.65</v>
      </c>
      <c r="F255">
        <v>1.7</v>
      </c>
      <c r="G255">
        <v>1.2</v>
      </c>
      <c r="H255">
        <v>1</v>
      </c>
      <c r="I255" t="str">
        <f t="shared" si="11"/>
        <v>dveře</v>
      </c>
    </row>
    <row r="256" spans="1:9">
      <c r="A256" t="s">
        <v>530</v>
      </c>
      <c r="B256" s="307" t="str">
        <f>ParametryZateplení!$E$8</f>
        <v>1995 a dále</v>
      </c>
      <c r="C256" s="314" t="s">
        <v>631</v>
      </c>
      <c r="D256" s="315" t="str">
        <f t="shared" si="10"/>
        <v>1995 a dále-vrata sekční tepelně izolační</v>
      </c>
      <c r="E256" s="316">
        <v>2</v>
      </c>
      <c r="F256">
        <v>1.7</v>
      </c>
      <c r="G256">
        <v>1.2</v>
      </c>
      <c r="H256">
        <v>1.2</v>
      </c>
      <c r="I256" t="str">
        <f t="shared" si="11"/>
        <v>dveře</v>
      </c>
    </row>
    <row r="257" spans="1:9">
      <c r="A257" s="283" t="s">
        <v>537</v>
      </c>
      <c r="B257" s="305" t="str">
        <f>ParametryZateplení!$E$3</f>
        <v>do 1920</v>
      </c>
      <c r="C257" s="302" t="s">
        <v>632</v>
      </c>
      <c r="D257" s="303" t="str">
        <f t="shared" si="10"/>
        <v>do 1920-střešní okna dřevěná jednoduchá s 1 sklem</v>
      </c>
      <c r="E257" s="304">
        <v>4.5</v>
      </c>
      <c r="F257">
        <v>1.5</v>
      </c>
      <c r="G257">
        <v>1.1000000000000001</v>
      </c>
      <c r="H257">
        <v>1.1000000000000001</v>
      </c>
      <c r="I257" t="str">
        <f>$J$21</f>
        <v>světlíky</v>
      </c>
    </row>
    <row r="258" spans="1:9">
      <c r="A258" s="283" t="s">
        <v>537</v>
      </c>
      <c r="B258" s="301" t="str">
        <f>ParametryZateplení!$E$3</f>
        <v>do 1920</v>
      </c>
      <c r="C258" s="302" t="s">
        <v>633</v>
      </c>
      <c r="D258" s="303" t="str">
        <f t="shared" si="10"/>
        <v>do 1920-střešní okna dřevěná jednoduchá s dvojsklem</v>
      </c>
      <c r="E258" s="304">
        <v>2</v>
      </c>
      <c r="F258">
        <v>1.5</v>
      </c>
      <c r="G258">
        <v>1.1000000000000001</v>
      </c>
      <c r="H258">
        <v>1.1000000000000001</v>
      </c>
      <c r="I258" t="str">
        <f t="shared" ref="I258:I289" si="12">$J$21</f>
        <v>světlíky</v>
      </c>
    </row>
    <row r="259" spans="1:9">
      <c r="A259" s="283" t="s">
        <v>537</v>
      </c>
      <c r="B259" s="301" t="str">
        <f>ParametryZateplení!$E$3</f>
        <v>do 1920</v>
      </c>
      <c r="C259" s="302" t="s">
        <v>634</v>
      </c>
      <c r="D259" s="303" t="str">
        <f>CONCATENATE(B259,"-",C259)</f>
        <v>do 1920-střešní svělíky kovové s 1 sklem</v>
      </c>
      <c r="E259" s="304">
        <v>5.65</v>
      </c>
      <c r="F259">
        <v>1.5</v>
      </c>
      <c r="G259">
        <v>1.1000000000000001</v>
      </c>
      <c r="H259">
        <v>1.1000000000000001</v>
      </c>
      <c r="I259" t="str">
        <f t="shared" si="12"/>
        <v>světlíky</v>
      </c>
    </row>
    <row r="260" spans="1:9">
      <c r="A260" s="283" t="s">
        <v>537</v>
      </c>
      <c r="B260" s="301" t="str">
        <f>ParametryZateplení!$E$3</f>
        <v>do 1920</v>
      </c>
      <c r="C260" s="302" t="s">
        <v>635</v>
      </c>
      <c r="D260" s="303" t="str">
        <f>CONCATENATE(B260,"-",C260)</f>
        <v>do 1920-střešní okna nová do roku 2007</v>
      </c>
      <c r="E260" s="304">
        <v>1.8</v>
      </c>
      <c r="F260">
        <v>1.5</v>
      </c>
      <c r="G260">
        <v>1.1000000000000001</v>
      </c>
      <c r="H260">
        <v>1.1000000000000001</v>
      </c>
      <c r="I260" t="str">
        <f t="shared" si="12"/>
        <v>světlíky</v>
      </c>
    </row>
    <row r="261" spans="1:9">
      <c r="A261" s="283" t="s">
        <v>537</v>
      </c>
      <c r="B261" s="301" t="str">
        <f>ParametryZateplení!$E$3</f>
        <v>do 1920</v>
      </c>
      <c r="C261" s="302" t="s">
        <v>636</v>
      </c>
      <c r="D261" s="303" t="str">
        <f>CONCATENATE(B261,"-",C261)</f>
        <v>do 1920-střešní okna nová po roce 2007</v>
      </c>
      <c r="E261" s="304">
        <v>1.5</v>
      </c>
      <c r="F261">
        <v>1.5</v>
      </c>
      <c r="G261">
        <v>1.1000000000000001</v>
      </c>
      <c r="H261">
        <v>1.1000000000000001</v>
      </c>
      <c r="I261" t="str">
        <f t="shared" si="12"/>
        <v>světlíky</v>
      </c>
    </row>
    <row r="262" spans="1:9">
      <c r="A262" s="283" t="s">
        <v>537</v>
      </c>
      <c r="B262" s="301" t="str">
        <f>ParametryZateplení!$E$3</f>
        <v>do 1920</v>
      </c>
      <c r="C262" s="302" t="s">
        <v>637</v>
      </c>
      <c r="D262" s="303" t="str">
        <f>CONCATENATE(B262,"-",C262)</f>
        <v>do 1920-střešní světlíky polykarbonát</v>
      </c>
      <c r="E262" s="304">
        <v>2.4</v>
      </c>
      <c r="F262">
        <v>1.5</v>
      </c>
      <c r="G262">
        <v>1.1000000000000001</v>
      </c>
      <c r="H262">
        <v>1.1000000000000001</v>
      </c>
      <c r="I262" t="str">
        <f t="shared" si="12"/>
        <v>světlíky</v>
      </c>
    </row>
    <row r="263" spans="1:9">
      <c r="A263" s="283" t="s">
        <v>537</v>
      </c>
      <c r="B263" s="306" t="str">
        <f>ParametryZateplení!$E$4</f>
        <v>1921 až 1945</v>
      </c>
      <c r="C263" s="302" t="s">
        <v>632</v>
      </c>
      <c r="D263" s="303" t="str">
        <f t="shared" si="10"/>
        <v>1921 až 1945-střešní okna dřevěná jednoduchá s 1 sklem</v>
      </c>
      <c r="E263" s="304">
        <v>4.5</v>
      </c>
      <c r="F263">
        <v>1.5</v>
      </c>
      <c r="G263">
        <v>1.1000000000000001</v>
      </c>
      <c r="H263">
        <v>1.1000000000000001</v>
      </c>
      <c r="I263" t="str">
        <f t="shared" si="12"/>
        <v>světlíky</v>
      </c>
    </row>
    <row r="264" spans="1:9">
      <c r="A264" s="283" t="s">
        <v>537</v>
      </c>
      <c r="B264" s="306" t="str">
        <f>ParametryZateplení!$E$4</f>
        <v>1921 až 1945</v>
      </c>
      <c r="C264" s="302" t="s">
        <v>633</v>
      </c>
      <c r="D264" s="303" t="str">
        <f t="shared" si="10"/>
        <v>1921 až 1945-střešní okna dřevěná jednoduchá s dvojsklem</v>
      </c>
      <c r="E264" s="304">
        <v>2</v>
      </c>
      <c r="F264">
        <v>1.5</v>
      </c>
      <c r="G264">
        <v>1.1000000000000001</v>
      </c>
      <c r="H264">
        <v>1.1000000000000001</v>
      </c>
      <c r="I264" t="str">
        <f t="shared" si="12"/>
        <v>světlíky</v>
      </c>
    </row>
    <row r="265" spans="1:9">
      <c r="A265" s="283" t="s">
        <v>537</v>
      </c>
      <c r="B265" s="306" t="str">
        <f>ParametryZateplení!$E$4</f>
        <v>1921 až 1945</v>
      </c>
      <c r="C265" s="302" t="s">
        <v>634</v>
      </c>
      <c r="D265" s="303" t="str">
        <f t="shared" si="10"/>
        <v>1921 až 1945-střešní svělíky kovové s 1 sklem</v>
      </c>
      <c r="E265" s="304">
        <v>5.65</v>
      </c>
      <c r="F265">
        <v>1.5</v>
      </c>
      <c r="G265">
        <v>1.1000000000000001</v>
      </c>
      <c r="H265">
        <v>1.1000000000000001</v>
      </c>
      <c r="I265" t="str">
        <f t="shared" si="12"/>
        <v>světlíky</v>
      </c>
    </row>
    <row r="266" spans="1:9">
      <c r="A266" s="283" t="s">
        <v>537</v>
      </c>
      <c r="B266" s="306" t="str">
        <f>ParametryZateplení!$E$4</f>
        <v>1921 až 1945</v>
      </c>
      <c r="C266" s="302" t="s">
        <v>635</v>
      </c>
      <c r="D266" s="303" t="str">
        <f t="shared" si="10"/>
        <v>1921 až 1945-střešní okna nová do roku 2007</v>
      </c>
      <c r="E266" s="304">
        <v>1.8</v>
      </c>
      <c r="F266">
        <v>1.5</v>
      </c>
      <c r="G266">
        <v>1.1000000000000001</v>
      </c>
      <c r="H266">
        <v>1.1000000000000001</v>
      </c>
      <c r="I266" t="str">
        <f t="shared" si="12"/>
        <v>světlíky</v>
      </c>
    </row>
    <row r="267" spans="1:9">
      <c r="A267" s="283" t="s">
        <v>537</v>
      </c>
      <c r="B267" s="306" t="str">
        <f>ParametryZateplení!$E$4</f>
        <v>1921 až 1945</v>
      </c>
      <c r="C267" s="302" t="s">
        <v>636</v>
      </c>
      <c r="D267" s="303" t="str">
        <f t="shared" si="10"/>
        <v>1921 až 1945-střešní okna nová po roce 2007</v>
      </c>
      <c r="E267" s="304">
        <v>1.5</v>
      </c>
      <c r="F267">
        <v>1.5</v>
      </c>
      <c r="G267">
        <v>1.1000000000000001</v>
      </c>
      <c r="H267">
        <v>1.1000000000000001</v>
      </c>
      <c r="I267" t="str">
        <f t="shared" si="12"/>
        <v>světlíky</v>
      </c>
    </row>
    <row r="268" spans="1:9">
      <c r="A268" s="283" t="s">
        <v>537</v>
      </c>
      <c r="B268" s="306" t="str">
        <f>ParametryZateplení!$E$4</f>
        <v>1921 až 1945</v>
      </c>
      <c r="C268" s="302" t="s">
        <v>637</v>
      </c>
      <c r="D268" s="303" t="str">
        <f t="shared" si="10"/>
        <v>1921 až 1945-střešní světlíky polykarbonát</v>
      </c>
      <c r="E268" s="304">
        <v>2.4</v>
      </c>
      <c r="F268">
        <v>1.5</v>
      </c>
      <c r="G268">
        <v>1.1000000000000001</v>
      </c>
      <c r="H268">
        <v>1.1000000000000001</v>
      </c>
      <c r="I268" t="str">
        <f t="shared" si="12"/>
        <v>světlíky</v>
      </c>
    </row>
    <row r="269" spans="1:9">
      <c r="A269" s="283" t="s">
        <v>537</v>
      </c>
      <c r="B269" s="306" t="str">
        <f>ParametryZateplení!$E$5</f>
        <v>1946 až 1960</v>
      </c>
      <c r="C269" s="302" t="s">
        <v>632</v>
      </c>
      <c r="D269" s="303" t="str">
        <f t="shared" si="10"/>
        <v>1946 až 1960-střešní okna dřevěná jednoduchá s 1 sklem</v>
      </c>
      <c r="E269" s="304">
        <v>4.5</v>
      </c>
      <c r="F269">
        <v>1.5</v>
      </c>
      <c r="G269">
        <v>1.1000000000000001</v>
      </c>
      <c r="H269">
        <v>1.1000000000000001</v>
      </c>
      <c r="I269" t="str">
        <f t="shared" si="12"/>
        <v>světlíky</v>
      </c>
    </row>
    <row r="270" spans="1:9">
      <c r="A270" s="283" t="s">
        <v>537</v>
      </c>
      <c r="B270" s="306" t="str">
        <f>ParametryZateplení!$E$5</f>
        <v>1946 až 1960</v>
      </c>
      <c r="C270" s="302" t="s">
        <v>633</v>
      </c>
      <c r="D270" s="303" t="str">
        <f t="shared" si="10"/>
        <v>1946 až 1960-střešní okna dřevěná jednoduchá s dvojsklem</v>
      </c>
      <c r="E270" s="304">
        <v>2</v>
      </c>
      <c r="F270">
        <v>1.5</v>
      </c>
      <c r="G270">
        <v>1.1000000000000001</v>
      </c>
      <c r="H270">
        <v>1.1000000000000001</v>
      </c>
      <c r="I270" t="str">
        <f t="shared" si="12"/>
        <v>světlíky</v>
      </c>
    </row>
    <row r="271" spans="1:9">
      <c r="A271" s="283" t="s">
        <v>537</v>
      </c>
      <c r="B271" s="306" t="str">
        <f>ParametryZateplení!$E$5</f>
        <v>1946 až 1960</v>
      </c>
      <c r="C271" s="302" t="s">
        <v>634</v>
      </c>
      <c r="D271" s="303" t="str">
        <f>CONCATENATE(B271,"-",C271)</f>
        <v>1946 až 1960-střešní svělíky kovové s 1 sklem</v>
      </c>
      <c r="E271" s="304">
        <v>5.65</v>
      </c>
      <c r="F271">
        <v>1.5</v>
      </c>
      <c r="G271">
        <v>1.1000000000000001</v>
      </c>
      <c r="H271">
        <v>1.1000000000000001</v>
      </c>
      <c r="I271" t="str">
        <f t="shared" si="12"/>
        <v>světlíky</v>
      </c>
    </row>
    <row r="272" spans="1:9">
      <c r="A272" s="283" t="s">
        <v>537</v>
      </c>
      <c r="B272" s="306" t="str">
        <f>ParametryZateplení!$E$5</f>
        <v>1946 až 1960</v>
      </c>
      <c r="C272" s="302" t="s">
        <v>635</v>
      </c>
      <c r="D272" s="303" t="str">
        <f>CONCATENATE(B272,"-",C272)</f>
        <v>1946 až 1960-střešní okna nová do roku 2007</v>
      </c>
      <c r="E272" s="304">
        <v>1.8</v>
      </c>
      <c r="F272">
        <v>1.5</v>
      </c>
      <c r="G272">
        <v>1.1000000000000001</v>
      </c>
      <c r="H272">
        <v>1.1000000000000001</v>
      </c>
      <c r="I272" t="str">
        <f t="shared" si="12"/>
        <v>světlíky</v>
      </c>
    </row>
    <row r="273" spans="1:9">
      <c r="A273" s="283" t="s">
        <v>537</v>
      </c>
      <c r="B273" s="306" t="str">
        <f>ParametryZateplení!$E$5</f>
        <v>1946 až 1960</v>
      </c>
      <c r="C273" s="302" t="s">
        <v>636</v>
      </c>
      <c r="D273" s="303" t="str">
        <f>CONCATENATE(B273,"-",C273)</f>
        <v>1946 až 1960-střešní okna nová po roce 2007</v>
      </c>
      <c r="E273" s="304">
        <v>1.5</v>
      </c>
      <c r="F273">
        <v>1.5</v>
      </c>
      <c r="G273">
        <v>1.1000000000000001</v>
      </c>
      <c r="H273">
        <v>1.1000000000000001</v>
      </c>
      <c r="I273" t="str">
        <f t="shared" si="12"/>
        <v>světlíky</v>
      </c>
    </row>
    <row r="274" spans="1:9">
      <c r="A274" s="283" t="s">
        <v>537</v>
      </c>
      <c r="B274" s="306" t="str">
        <f>ParametryZateplení!$E$5</f>
        <v>1946 až 1960</v>
      </c>
      <c r="C274" s="302" t="s">
        <v>637</v>
      </c>
      <c r="D274" s="303" t="str">
        <f>CONCATENATE(B274,"-",C274)</f>
        <v>1946 až 1960-střešní světlíky polykarbonát</v>
      </c>
      <c r="E274" s="304">
        <v>2.4</v>
      </c>
      <c r="F274">
        <v>1.5</v>
      </c>
      <c r="G274">
        <v>1.1000000000000001</v>
      </c>
      <c r="H274">
        <v>1.1000000000000001</v>
      </c>
      <c r="I274" t="str">
        <f t="shared" si="12"/>
        <v>světlíky</v>
      </c>
    </row>
    <row r="275" spans="1:9">
      <c r="A275" s="283" t="s">
        <v>537</v>
      </c>
      <c r="B275" s="307" t="str">
        <f>ParametryZateplení!$E$6</f>
        <v>1961 až 1980</v>
      </c>
      <c r="C275" s="302" t="s">
        <v>632</v>
      </c>
      <c r="D275" s="303" t="str">
        <f t="shared" si="10"/>
        <v>1961 až 1980-střešní okna dřevěná jednoduchá s 1 sklem</v>
      </c>
      <c r="E275" s="304">
        <v>4.5</v>
      </c>
      <c r="F275">
        <v>1.5</v>
      </c>
      <c r="G275">
        <v>1.1000000000000001</v>
      </c>
      <c r="H275">
        <v>1.1000000000000001</v>
      </c>
      <c r="I275" t="str">
        <f t="shared" si="12"/>
        <v>světlíky</v>
      </c>
    </row>
    <row r="276" spans="1:9">
      <c r="A276" s="283" t="s">
        <v>537</v>
      </c>
      <c r="B276" s="307" t="str">
        <f>ParametryZateplení!$E$6</f>
        <v>1961 až 1980</v>
      </c>
      <c r="C276" s="302" t="s">
        <v>633</v>
      </c>
      <c r="D276" s="303" t="str">
        <f t="shared" si="10"/>
        <v>1961 až 1980-střešní okna dřevěná jednoduchá s dvojsklem</v>
      </c>
      <c r="E276" s="304">
        <v>2</v>
      </c>
      <c r="F276">
        <v>1.5</v>
      </c>
      <c r="G276">
        <v>1.1000000000000001</v>
      </c>
      <c r="H276">
        <v>1.1000000000000001</v>
      </c>
      <c r="I276" t="str">
        <f t="shared" si="12"/>
        <v>světlíky</v>
      </c>
    </row>
    <row r="277" spans="1:9">
      <c r="A277" s="283" t="s">
        <v>537</v>
      </c>
      <c r="B277" s="307" t="str">
        <f>ParametryZateplení!$E$6</f>
        <v>1961 až 1980</v>
      </c>
      <c r="C277" s="302" t="s">
        <v>634</v>
      </c>
      <c r="D277" s="303" t="str">
        <f t="shared" si="10"/>
        <v>1961 až 1980-střešní svělíky kovové s 1 sklem</v>
      </c>
      <c r="E277" s="304">
        <v>5.65</v>
      </c>
      <c r="F277">
        <v>1.5</v>
      </c>
      <c r="G277">
        <v>1.1000000000000001</v>
      </c>
      <c r="H277">
        <v>1.1000000000000001</v>
      </c>
      <c r="I277" t="str">
        <f t="shared" si="12"/>
        <v>světlíky</v>
      </c>
    </row>
    <row r="278" spans="1:9">
      <c r="A278" s="283" t="s">
        <v>537</v>
      </c>
      <c r="B278" s="307" t="str">
        <f>ParametryZateplení!$E$6</f>
        <v>1961 až 1980</v>
      </c>
      <c r="C278" s="302" t="s">
        <v>635</v>
      </c>
      <c r="D278" s="303" t="str">
        <f t="shared" ref="D278:D289" si="13">CONCATENATE(B278,"-",C278)</f>
        <v>1961 až 1980-střešní okna nová do roku 2007</v>
      </c>
      <c r="E278" s="304">
        <v>1.8</v>
      </c>
      <c r="F278">
        <v>1.5</v>
      </c>
      <c r="G278">
        <v>1.1000000000000001</v>
      </c>
      <c r="H278">
        <v>1.1000000000000001</v>
      </c>
      <c r="I278" t="str">
        <f t="shared" si="12"/>
        <v>světlíky</v>
      </c>
    </row>
    <row r="279" spans="1:9">
      <c r="A279" s="283" t="s">
        <v>537</v>
      </c>
      <c r="B279" s="307" t="str">
        <f>ParametryZateplení!$E$6</f>
        <v>1961 až 1980</v>
      </c>
      <c r="C279" s="302" t="s">
        <v>636</v>
      </c>
      <c r="D279" s="303" t="str">
        <f t="shared" si="13"/>
        <v>1961 až 1980-střešní okna nová po roce 2007</v>
      </c>
      <c r="E279" s="304">
        <v>1.5</v>
      </c>
      <c r="F279">
        <v>1.5</v>
      </c>
      <c r="G279">
        <v>1.1000000000000001</v>
      </c>
      <c r="H279">
        <v>1.1000000000000001</v>
      </c>
      <c r="I279" t="str">
        <f t="shared" si="12"/>
        <v>světlíky</v>
      </c>
    </row>
    <row r="280" spans="1:9">
      <c r="A280" s="283" t="s">
        <v>537</v>
      </c>
      <c r="B280" s="307" t="str">
        <f>ParametryZateplení!$E$6</f>
        <v>1961 až 1980</v>
      </c>
      <c r="C280" s="302" t="s">
        <v>637</v>
      </c>
      <c r="D280" s="303" t="str">
        <f t="shared" si="13"/>
        <v>1961 až 1980-střešní světlíky polykarbonát</v>
      </c>
      <c r="E280" s="304">
        <v>2.4</v>
      </c>
      <c r="F280">
        <v>1.5</v>
      </c>
      <c r="G280">
        <v>1.1000000000000001</v>
      </c>
      <c r="H280">
        <v>1.1000000000000001</v>
      </c>
      <c r="I280" t="str">
        <f t="shared" si="12"/>
        <v>světlíky</v>
      </c>
    </row>
    <row r="281" spans="1:9">
      <c r="A281" s="283" t="s">
        <v>537</v>
      </c>
      <c r="B281" s="306" t="str">
        <f>ParametryZateplení!$E$7</f>
        <v>1981 až 1994</v>
      </c>
      <c r="C281" s="302" t="s">
        <v>632</v>
      </c>
      <c r="D281" s="303" t="str">
        <f t="shared" si="13"/>
        <v>1981 až 1994-střešní okna dřevěná jednoduchá s 1 sklem</v>
      </c>
      <c r="E281" s="304">
        <v>4.5</v>
      </c>
      <c r="F281">
        <v>1.5</v>
      </c>
      <c r="G281">
        <v>1.1000000000000001</v>
      </c>
      <c r="H281">
        <v>1.1000000000000001</v>
      </c>
      <c r="I281" t="str">
        <f t="shared" si="12"/>
        <v>světlíky</v>
      </c>
    </row>
    <row r="282" spans="1:9">
      <c r="A282" s="283" t="s">
        <v>537</v>
      </c>
      <c r="B282" s="306" t="str">
        <f>ParametryZateplení!$E$7</f>
        <v>1981 až 1994</v>
      </c>
      <c r="C282" s="302" t="s">
        <v>633</v>
      </c>
      <c r="D282" s="303" t="str">
        <f t="shared" si="13"/>
        <v>1981 až 1994-střešní okna dřevěná jednoduchá s dvojsklem</v>
      </c>
      <c r="E282" s="304">
        <v>2</v>
      </c>
      <c r="F282">
        <v>1.5</v>
      </c>
      <c r="G282">
        <v>1.1000000000000001</v>
      </c>
      <c r="H282">
        <v>1.1000000000000001</v>
      </c>
      <c r="I282" t="str">
        <f t="shared" si="12"/>
        <v>světlíky</v>
      </c>
    </row>
    <row r="283" spans="1:9">
      <c r="A283" s="283" t="s">
        <v>537</v>
      </c>
      <c r="B283" s="306" t="str">
        <f>ParametryZateplení!$E$7</f>
        <v>1981 až 1994</v>
      </c>
      <c r="C283" s="302" t="s">
        <v>634</v>
      </c>
      <c r="D283" s="303" t="str">
        <f>CONCATENATE(B283,"-",C283)</f>
        <v>1981 až 1994-střešní svělíky kovové s 1 sklem</v>
      </c>
      <c r="E283" s="304">
        <v>5.65</v>
      </c>
      <c r="F283">
        <v>1.5</v>
      </c>
      <c r="G283">
        <v>1.1000000000000001</v>
      </c>
      <c r="H283">
        <v>1.1000000000000001</v>
      </c>
      <c r="I283" t="str">
        <f t="shared" si="12"/>
        <v>světlíky</v>
      </c>
    </row>
    <row r="284" spans="1:9">
      <c r="A284" s="283" t="s">
        <v>537</v>
      </c>
      <c r="B284" s="306" t="str">
        <f>ParametryZateplení!$E$7</f>
        <v>1981 až 1994</v>
      </c>
      <c r="C284" s="302" t="s">
        <v>635</v>
      </c>
      <c r="D284" s="303" t="str">
        <f>CONCATENATE(B284,"-",C284)</f>
        <v>1981 až 1994-střešní okna nová do roku 2007</v>
      </c>
      <c r="E284" s="304">
        <v>1.8</v>
      </c>
      <c r="F284">
        <v>1.5</v>
      </c>
      <c r="G284">
        <v>1.1000000000000001</v>
      </c>
      <c r="H284">
        <v>1.1000000000000001</v>
      </c>
      <c r="I284" t="str">
        <f t="shared" si="12"/>
        <v>světlíky</v>
      </c>
    </row>
    <row r="285" spans="1:9">
      <c r="A285" s="283" t="s">
        <v>537</v>
      </c>
      <c r="B285" s="306" t="str">
        <f>ParametryZateplení!$E$7</f>
        <v>1981 až 1994</v>
      </c>
      <c r="C285" s="302" t="s">
        <v>636</v>
      </c>
      <c r="D285" s="303" t="str">
        <f>CONCATENATE(B285,"-",C285)</f>
        <v>1981 až 1994-střešní okna nová po roce 2007</v>
      </c>
      <c r="E285" s="304">
        <v>1.5</v>
      </c>
      <c r="F285">
        <v>1.5</v>
      </c>
      <c r="G285">
        <v>1.1000000000000001</v>
      </c>
      <c r="H285">
        <v>1.1000000000000001</v>
      </c>
      <c r="I285" t="str">
        <f t="shared" si="12"/>
        <v>světlíky</v>
      </c>
    </row>
    <row r="286" spans="1:9">
      <c r="A286" s="283" t="s">
        <v>537</v>
      </c>
      <c r="B286" s="306" t="str">
        <f>ParametryZateplení!$E$7</f>
        <v>1981 až 1994</v>
      </c>
      <c r="C286" s="302" t="s">
        <v>637</v>
      </c>
      <c r="D286" s="303" t="str">
        <f>CONCATENATE(B286,"-",C286)</f>
        <v>1981 až 1994-střešní světlíky polykarbonát</v>
      </c>
      <c r="E286" s="304">
        <v>2.4</v>
      </c>
      <c r="F286">
        <v>1.5</v>
      </c>
      <c r="G286">
        <v>1.1000000000000001</v>
      </c>
      <c r="H286">
        <v>1.1000000000000001</v>
      </c>
      <c r="I286" t="str">
        <f t="shared" si="12"/>
        <v>světlíky</v>
      </c>
    </row>
    <row r="287" spans="1:9">
      <c r="A287" s="283" t="s">
        <v>537</v>
      </c>
      <c r="B287" s="307" t="str">
        <f>ParametryZateplení!$E$8</f>
        <v>1995 a dále</v>
      </c>
      <c r="C287" s="302" t="s">
        <v>635</v>
      </c>
      <c r="D287" s="303" t="str">
        <f t="shared" si="13"/>
        <v>1995 a dále-střešní okna nová do roku 2007</v>
      </c>
      <c r="E287" s="304">
        <v>1.8</v>
      </c>
      <c r="F287">
        <v>1.5</v>
      </c>
      <c r="G287">
        <v>1.1000000000000001</v>
      </c>
      <c r="H287">
        <v>1.1000000000000001</v>
      </c>
      <c r="I287" t="str">
        <f t="shared" si="12"/>
        <v>světlíky</v>
      </c>
    </row>
    <row r="288" spans="1:9">
      <c r="A288" s="283" t="s">
        <v>537</v>
      </c>
      <c r="B288" s="307" t="str">
        <f>ParametryZateplení!$E$8</f>
        <v>1995 a dále</v>
      </c>
      <c r="C288" s="302" t="s">
        <v>636</v>
      </c>
      <c r="D288" s="303" t="str">
        <f t="shared" si="13"/>
        <v>1995 a dále-střešní okna nová po roce 2007</v>
      </c>
      <c r="E288" s="304">
        <v>1.5</v>
      </c>
      <c r="F288">
        <v>1.5</v>
      </c>
      <c r="G288">
        <v>1.1000000000000001</v>
      </c>
      <c r="H288">
        <v>1.1000000000000001</v>
      </c>
      <c r="I288" t="str">
        <f t="shared" si="12"/>
        <v>světlíky</v>
      </c>
    </row>
    <row r="289" spans="1:9">
      <c r="A289" s="283" t="s">
        <v>537</v>
      </c>
      <c r="B289" s="307" t="str">
        <f>ParametryZateplení!$E$8</f>
        <v>1995 a dále</v>
      </c>
      <c r="C289" s="302" t="s">
        <v>637</v>
      </c>
      <c r="D289" s="303" t="str">
        <f t="shared" si="13"/>
        <v>1995 a dále-střešní světlíky polykarbonát</v>
      </c>
      <c r="E289" s="304">
        <v>2.4</v>
      </c>
      <c r="F289">
        <v>1.5</v>
      </c>
      <c r="G289">
        <v>1.1000000000000001</v>
      </c>
      <c r="H289">
        <v>1.1000000000000001</v>
      </c>
      <c r="I289" t="str">
        <f t="shared" si="12"/>
        <v>světlíky</v>
      </c>
    </row>
    <row r="290" spans="1:9">
      <c r="A290" s="283" t="s">
        <v>544</v>
      </c>
      <c r="B290" s="294" t="str">
        <f>ParametryZateplení!$E$3</f>
        <v>do 1920</v>
      </c>
      <c r="C290" s="289" t="s">
        <v>638</v>
      </c>
      <c r="D290" s="295" t="str">
        <f t="shared" ref="D290:D304" si="14">CONCATENATE(B290,"-",C290)</f>
        <v>do 1920-podlaha na zemině nezateplená</v>
      </c>
      <c r="E290" s="299">
        <v>4</v>
      </c>
      <c r="F290">
        <v>0.45</v>
      </c>
      <c r="G290">
        <v>0.3</v>
      </c>
      <c r="H290">
        <v>0.22</v>
      </c>
      <c r="I290" t="str">
        <f>$J$18</f>
        <v>podlaha</v>
      </c>
    </row>
    <row r="291" spans="1:9">
      <c r="A291" s="283" t="s">
        <v>544</v>
      </c>
      <c r="B291" s="294" t="str">
        <f>ParametryZateplení!$E$3</f>
        <v>do 1920</v>
      </c>
      <c r="C291" s="289" t="s">
        <v>639</v>
      </c>
      <c r="D291" s="295" t="str">
        <f t="shared" si="14"/>
        <v>do 1920-podlaha na zemině zateplená</v>
      </c>
      <c r="E291" s="299">
        <f>1/1.15</f>
        <v>0.86956521739130443</v>
      </c>
      <c r="F291">
        <v>0.45</v>
      </c>
      <c r="G291">
        <v>0.3</v>
      </c>
      <c r="H291">
        <v>0.22</v>
      </c>
      <c r="I291" t="str">
        <f t="shared" ref="I291:I304" si="15">$J$18</f>
        <v>podlaha</v>
      </c>
    </row>
    <row r="292" spans="1:9">
      <c r="A292" s="283" t="s">
        <v>544</v>
      </c>
      <c r="B292" s="294" t="str">
        <f>ParametryZateplení!$E$4</f>
        <v>1921 až 1945</v>
      </c>
      <c r="C292" s="289" t="s">
        <v>638</v>
      </c>
      <c r="D292" s="295" t="str">
        <f t="shared" si="14"/>
        <v>1921 až 1945-podlaha na zemině nezateplená</v>
      </c>
      <c r="E292" s="299">
        <v>4</v>
      </c>
      <c r="F292">
        <v>0.45</v>
      </c>
      <c r="G292">
        <v>0.3</v>
      </c>
      <c r="H292">
        <v>0.22</v>
      </c>
      <c r="I292" t="str">
        <f t="shared" si="15"/>
        <v>podlaha</v>
      </c>
    </row>
    <row r="293" spans="1:9">
      <c r="A293" s="283" t="s">
        <v>544</v>
      </c>
      <c r="B293" s="294" t="str">
        <f>ParametryZateplení!$E$4</f>
        <v>1921 až 1945</v>
      </c>
      <c r="C293" s="289" t="s">
        <v>639</v>
      </c>
      <c r="D293" s="295" t="str">
        <f t="shared" si="14"/>
        <v>1921 až 1945-podlaha na zemině zateplená</v>
      </c>
      <c r="E293" s="299">
        <f>1/1.15</f>
        <v>0.86956521739130443</v>
      </c>
      <c r="F293">
        <v>0.45</v>
      </c>
      <c r="G293">
        <v>0.3</v>
      </c>
      <c r="H293">
        <v>0.22</v>
      </c>
      <c r="I293" t="str">
        <f t="shared" si="15"/>
        <v>podlaha</v>
      </c>
    </row>
    <row r="294" spans="1:9">
      <c r="A294" s="283" t="s">
        <v>544</v>
      </c>
      <c r="B294" s="294" t="str">
        <f>ParametryZateplení!$E$5</f>
        <v>1946 až 1960</v>
      </c>
      <c r="C294" s="289" t="s">
        <v>638</v>
      </c>
      <c r="D294" s="295" t="str">
        <f t="shared" si="14"/>
        <v>1946 až 1960-podlaha na zemině nezateplená</v>
      </c>
      <c r="E294" s="299">
        <v>4</v>
      </c>
      <c r="F294">
        <v>0.45</v>
      </c>
      <c r="G294">
        <v>0.3</v>
      </c>
      <c r="H294">
        <v>0.22</v>
      </c>
      <c r="I294" t="str">
        <f t="shared" si="15"/>
        <v>podlaha</v>
      </c>
    </row>
    <row r="295" spans="1:9">
      <c r="A295" s="283" t="s">
        <v>544</v>
      </c>
      <c r="B295" s="294" t="str">
        <f>ParametryZateplení!$E$5</f>
        <v>1946 až 1960</v>
      </c>
      <c r="C295" s="289" t="s">
        <v>639</v>
      </c>
      <c r="D295" s="295" t="str">
        <f t="shared" si="14"/>
        <v>1946 až 1960-podlaha na zemině zateplená</v>
      </c>
      <c r="E295" s="299">
        <f>1/1.15</f>
        <v>0.86956521739130443</v>
      </c>
      <c r="F295">
        <v>0.45</v>
      </c>
      <c r="G295">
        <v>0.3</v>
      </c>
      <c r="H295">
        <v>0.22</v>
      </c>
      <c r="I295" t="str">
        <f t="shared" si="15"/>
        <v>podlaha</v>
      </c>
    </row>
    <row r="296" spans="1:9">
      <c r="A296" s="283" t="s">
        <v>544</v>
      </c>
      <c r="B296" s="297" t="str">
        <f>ParametryZateplení!$E$6</f>
        <v>1961 až 1980</v>
      </c>
      <c r="C296" s="289" t="s">
        <v>638</v>
      </c>
      <c r="D296" s="295" t="str">
        <f t="shared" si="14"/>
        <v>1961 až 1980-podlaha na zemině nezateplená</v>
      </c>
      <c r="E296" s="299">
        <v>4</v>
      </c>
      <c r="F296">
        <v>0.45</v>
      </c>
      <c r="G296">
        <v>0.3</v>
      </c>
      <c r="H296">
        <v>0.22</v>
      </c>
      <c r="I296" t="str">
        <f t="shared" si="15"/>
        <v>podlaha</v>
      </c>
    </row>
    <row r="297" spans="1:9">
      <c r="A297" s="283" t="s">
        <v>544</v>
      </c>
      <c r="B297" s="297" t="str">
        <f>ParametryZateplení!$E$6</f>
        <v>1961 až 1980</v>
      </c>
      <c r="C297" s="289" t="s">
        <v>639</v>
      </c>
      <c r="D297" s="295" t="str">
        <f t="shared" si="14"/>
        <v>1961 až 1980-podlaha na zemině zateplená</v>
      </c>
      <c r="E297" s="299">
        <f>1/1.15</f>
        <v>0.86956521739130443</v>
      </c>
      <c r="F297">
        <v>0.45</v>
      </c>
      <c r="G297">
        <v>0.3</v>
      </c>
      <c r="H297">
        <v>0.22</v>
      </c>
      <c r="I297" t="str">
        <f t="shared" si="15"/>
        <v>podlaha</v>
      </c>
    </row>
    <row r="298" spans="1:9">
      <c r="A298" s="283" t="s">
        <v>544</v>
      </c>
      <c r="B298" s="294" t="str">
        <f>ParametryZateplení!$E$7</f>
        <v>1981 až 1994</v>
      </c>
      <c r="C298" s="289" t="s">
        <v>638</v>
      </c>
      <c r="D298" s="295" t="str">
        <f t="shared" si="14"/>
        <v>1981 až 1994-podlaha na zemině nezateplená</v>
      </c>
      <c r="E298" s="298">
        <v>4</v>
      </c>
      <c r="F298">
        <v>0.45</v>
      </c>
      <c r="G298">
        <v>0.3</v>
      </c>
      <c r="H298">
        <v>0.22</v>
      </c>
      <c r="I298" t="str">
        <f t="shared" si="15"/>
        <v>podlaha</v>
      </c>
    </row>
    <row r="299" spans="1:9">
      <c r="A299" s="283" t="s">
        <v>544</v>
      </c>
      <c r="B299" s="294" t="str">
        <f>ParametryZateplení!$E$7</f>
        <v>1981 až 1994</v>
      </c>
      <c r="C299" s="289" t="s">
        <v>639</v>
      </c>
      <c r="D299" s="295" t="str">
        <f t="shared" si="14"/>
        <v>1981 až 1994-podlaha na zemině zateplená</v>
      </c>
      <c r="E299" s="298">
        <v>1</v>
      </c>
      <c r="F299">
        <v>0.45</v>
      </c>
      <c r="G299">
        <v>0.3</v>
      </c>
      <c r="H299">
        <v>0.22</v>
      </c>
      <c r="I299" t="str">
        <f t="shared" si="15"/>
        <v>podlaha</v>
      </c>
    </row>
    <row r="300" spans="1:9">
      <c r="A300" s="283" t="s">
        <v>544</v>
      </c>
      <c r="B300" s="294" t="str">
        <f>ParametryZateplení!$E$8</f>
        <v>1995 a dále</v>
      </c>
      <c r="C300" s="289" t="s">
        <v>638</v>
      </c>
      <c r="D300" s="295" t="str">
        <f t="shared" si="14"/>
        <v>1995 a dále-podlaha na zemině nezateplená</v>
      </c>
      <c r="E300" s="299">
        <v>4</v>
      </c>
      <c r="F300">
        <v>0.45</v>
      </c>
      <c r="G300">
        <v>0.3</v>
      </c>
      <c r="H300">
        <v>0.22</v>
      </c>
      <c r="I300" t="str">
        <f t="shared" si="15"/>
        <v>podlaha</v>
      </c>
    </row>
    <row r="301" spans="1:9">
      <c r="A301" s="283" t="s">
        <v>544</v>
      </c>
      <c r="B301" s="294" t="str">
        <f>ParametryZateplení!$E$8</f>
        <v>1995 a dále</v>
      </c>
      <c r="C301" s="289" t="s">
        <v>639</v>
      </c>
      <c r="D301" s="295" t="str">
        <f t="shared" si="14"/>
        <v>1995 a dále-podlaha na zemině zateplená</v>
      </c>
      <c r="E301" s="299">
        <f>1/1.15</f>
        <v>0.86956521739130443</v>
      </c>
      <c r="F301">
        <v>0.45</v>
      </c>
      <c r="G301">
        <v>0.3</v>
      </c>
      <c r="H301">
        <v>0.22</v>
      </c>
      <c r="I301" t="str">
        <f t="shared" si="15"/>
        <v>podlaha</v>
      </c>
    </row>
    <row r="302" spans="1:9">
      <c r="A302" s="283" t="s">
        <v>544</v>
      </c>
      <c r="B302" s="294" t="str">
        <f>ParametryZateplení!$E$8</f>
        <v>1995 a dále</v>
      </c>
      <c r="C302" s="289" t="s">
        <v>640</v>
      </c>
      <c r="D302" s="295" t="str">
        <f t="shared" si="14"/>
        <v>1995 a dále-podlaha na zemině po roce 2002 zateplená</v>
      </c>
      <c r="E302" s="299">
        <v>0.6</v>
      </c>
      <c r="F302">
        <v>0.45</v>
      </c>
      <c r="G302">
        <v>0.3</v>
      </c>
      <c r="H302">
        <v>0.22</v>
      </c>
      <c r="I302" t="str">
        <f t="shared" si="15"/>
        <v>podlaha</v>
      </c>
    </row>
    <row r="303" spans="1:9">
      <c r="A303" s="283" t="s">
        <v>544</v>
      </c>
      <c r="B303" s="294" t="str">
        <f>ParametryZateplení!$E$8</f>
        <v>1995 a dále</v>
      </c>
      <c r="C303" s="289" t="s">
        <v>641</v>
      </c>
      <c r="D303" s="295" t="str">
        <f t="shared" si="14"/>
        <v>1995 a dále-podlaha na zemině po roce 2007 zateplená</v>
      </c>
      <c r="E303" s="299">
        <v>0.45</v>
      </c>
      <c r="F303">
        <v>0.45</v>
      </c>
      <c r="G303">
        <v>0.3</v>
      </c>
      <c r="H303">
        <v>0.22</v>
      </c>
      <c r="I303" t="str">
        <f t="shared" si="15"/>
        <v>podlaha</v>
      </c>
    </row>
    <row r="304" spans="1:9">
      <c r="A304" s="283" t="s">
        <v>544</v>
      </c>
      <c r="B304" s="294" t="str">
        <f>ParametryZateplení!$E$8</f>
        <v>1995 a dále</v>
      </c>
      <c r="C304" s="289" t="s">
        <v>642</v>
      </c>
      <c r="D304" s="295" t="str">
        <f t="shared" si="14"/>
        <v>1995 a dále-podlaha na zemině po roce 2007 zateplená více</v>
      </c>
      <c r="E304" s="299">
        <v>0.3</v>
      </c>
      <c r="F304">
        <v>0.45</v>
      </c>
      <c r="G304">
        <v>0.3</v>
      </c>
      <c r="H304">
        <v>0.22</v>
      </c>
      <c r="I304" t="str">
        <f t="shared" si="15"/>
        <v>podlaha</v>
      </c>
    </row>
  </sheetData>
  <sheetProtection algorithmName="SHA-512" hashValue="vsscPLcNTxU2k5WPeE0WpGY6+dp91NS8yrGGnqqY0SqiVIYUcfMXVKy843KUkgpFgJA94kkyAmi/n8jQBEGeSg==" saltValue="KMzHXUNOLz4pd8bfcyU3jw==" spinCount="100000" sheet="1" objects="1" scenarios="1"/>
  <autoFilter ref="A69:I304" xr:uid="{AF010639-BEB7-4DF7-A17C-219C6247EE1B}"/>
  <pageMargins left="0.7" right="0.7" top="0.78740157499999996" bottom="0.78740157499999996" header="0.3" footer="0.3"/>
  <tableParts count="2">
    <tablePart r:id="rId1"/>
    <tablePart r:id="rId2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CB85DB-67D9-4974-BE49-EB8110E16593}">
  <sheetPr codeName="List13"/>
  <dimension ref="A2:K59"/>
  <sheetViews>
    <sheetView workbookViewId="0">
      <selection activeCell="J13" sqref="J13"/>
    </sheetView>
  </sheetViews>
  <sheetFormatPr defaultColWidth="8.85546875" defaultRowHeight="13.5"/>
  <cols>
    <col min="1" max="1" width="24.28515625" style="283" customWidth="1"/>
    <col min="2" max="2" width="50.7109375" style="283" customWidth="1"/>
    <col min="3" max="3" width="14.7109375" style="283" customWidth="1"/>
    <col min="4" max="6" width="8.85546875" style="283"/>
    <col min="7" max="7" width="16.28515625" style="283" bestFit="1" customWidth="1"/>
    <col min="8" max="8" width="47.7109375" style="283" bestFit="1" customWidth="1"/>
    <col min="9" max="9" width="15.85546875" style="283" bestFit="1" customWidth="1"/>
    <col min="10" max="16384" width="8.85546875" style="283"/>
  </cols>
  <sheetData>
    <row r="2" spans="1:11">
      <c r="B2" s="326" t="s">
        <v>669</v>
      </c>
      <c r="C2" s="327" t="s">
        <v>670</v>
      </c>
      <c r="D2" s="327" t="s">
        <v>671</v>
      </c>
      <c r="H2" s="283" t="s">
        <v>722</v>
      </c>
      <c r="I2" s="283" t="s">
        <v>723</v>
      </c>
      <c r="J2" s="283" t="s">
        <v>670</v>
      </c>
      <c r="K2" s="283" t="s">
        <v>671</v>
      </c>
    </row>
    <row r="3" spans="1:11">
      <c r="A3" s="283" t="s">
        <v>488</v>
      </c>
      <c r="B3" s="328" t="s">
        <v>672</v>
      </c>
      <c r="C3" s="328">
        <v>4.2000000000000003E-2</v>
      </c>
      <c r="D3" s="328">
        <v>0.02</v>
      </c>
      <c r="G3" s="283" t="s">
        <v>488</v>
      </c>
      <c r="H3" s="283" t="str">
        <f>IF(ISBLANK(Zateplení!F43),"",Zateplení!F43)</f>
        <v/>
      </c>
      <c r="I3" s="283">
        <f>IF(ISBLANK(Zateplení!F43),0,MATCH(Zateplení!F43,B$3:$B$13,0))</f>
        <v>0</v>
      </c>
      <c r="J3" s="334" cm="1">
        <f t="array" ref="J3">IF($I3=0,0,INDEX(C$3:C$13,$I3))</f>
        <v>0</v>
      </c>
      <c r="K3" s="334" cm="1">
        <f t="array" ref="K3">IF($I3=0,0,INDEX(D$3:D$13,$I3))</f>
        <v>0</v>
      </c>
    </row>
    <row r="4" spans="1:11">
      <c r="A4" s="283" t="s">
        <v>488</v>
      </c>
      <c r="B4" s="329" t="s">
        <v>673</v>
      </c>
      <c r="C4" s="329">
        <v>0.04</v>
      </c>
      <c r="D4" s="329">
        <v>0.02</v>
      </c>
      <c r="G4" s="283" t="s">
        <v>495</v>
      </c>
      <c r="H4" s="283" t="str">
        <f>IF(Budova!$J$1=1,IF(ISBLANK(Zateplení!F51),"",Zateplení!F51),"")</f>
        <v/>
      </c>
      <c r="I4" s="283">
        <f>IFERROR(IF(Budova!$J$1=1,IF(ISBLANK(Zateplení!F51),0,MATCH(Zateplení!F51,CHOOSE(Budova!$J$1,B$14:$B$19,$B$20:$B$23,$B$24:$B$27),0)),0),0)</f>
        <v>0</v>
      </c>
      <c r="J4" s="334" cm="1">
        <f t="array" ref="J4">IF($I4=0,0,INDEX(CHOOSE(Budova!$J$1,C$14:C$19,C$20:C$23,C$24:C$27),$I4))</f>
        <v>0</v>
      </c>
      <c r="K4" s="334" cm="1">
        <f t="array" ref="K4">IF($I4=0,0,INDEX(CHOOSE(Budova!$J$1,D$14:D$19,D$20:D$23,D$24:D$27),$I4))</f>
        <v>0</v>
      </c>
    </row>
    <row r="5" spans="1:11">
      <c r="A5" s="283" t="s">
        <v>488</v>
      </c>
      <c r="B5" s="329" t="s">
        <v>674</v>
      </c>
      <c r="C5" s="329">
        <v>3.4000000000000002E-2</v>
      </c>
      <c r="D5" s="329">
        <v>0.02</v>
      </c>
      <c r="G5" s="283" t="s">
        <v>502</v>
      </c>
      <c r="H5" s="283" t="str">
        <f>IF(Budova!$J$1=2,IF(ISBLANK(Zateplení!F51),"",Zateplení!F51),"")</f>
        <v/>
      </c>
      <c r="I5" s="283">
        <f>IFERROR(IF(Budova!$J$1=2,IF(ISBLANK(Zateplení!F51),0,MATCH(Zateplení!F51,CHOOSE(Budova!$J$1,B$14:$B$19,$B$20:$B$23,$B$24:$B$27),0)),0),0)</f>
        <v>0</v>
      </c>
      <c r="J5" s="334" cm="1">
        <f t="array" ref="J5">IF($I5=0,0,INDEX(CHOOSE(Budova!$J$1,C$14:C$19,C$20:C$23,C$24:C$27),$I5))</f>
        <v>0</v>
      </c>
      <c r="K5" s="334" cm="1">
        <f t="array" ref="K5">IF($I5=0,0,INDEX(CHOOSE(Budova!$J$1,D$14:D$19,D$20:D$23,D$24:D$27),$I5))</f>
        <v>0</v>
      </c>
    </row>
    <row r="6" spans="1:11">
      <c r="A6" s="283" t="s">
        <v>488</v>
      </c>
      <c r="B6" s="329" t="s">
        <v>675</v>
      </c>
      <c r="C6" s="329">
        <v>3.5000000000000003E-2</v>
      </c>
      <c r="D6" s="329">
        <v>0.02</v>
      </c>
      <c r="G6" s="283" t="s">
        <v>509</v>
      </c>
      <c r="H6" s="283" t="str">
        <f>IF(Budova!$J$1=3,IF(ISBLANK(Zateplení!F51),"",Zateplení!F51),"")</f>
        <v/>
      </c>
      <c r="I6" s="283">
        <f>IFERROR(IF(Budova!$J$1=3,IF(ISBLANK(Zateplení!F51),0,MATCH(Zateplení!F51,CHOOSE(Budova!$J$1,B$14:$B$19,$B$20:$B$23,$B$24:$B$27),0)),0),0)</f>
        <v>0</v>
      </c>
      <c r="J6" s="334" cm="1">
        <f t="array" ref="J6">IF($I6=0,0,INDEX(CHOOSE(Budova!$J$1,C$14:C$19,C$20:C$23,C$24:C$27),$I6))</f>
        <v>0</v>
      </c>
      <c r="K6" s="334" cm="1">
        <f t="array" ref="K6">IF($I6=0,0,INDEX(CHOOSE(Budova!$J$1,D$14:D$19,D$20:D$23,D$24:D$27),$I6))</f>
        <v>0</v>
      </c>
    </row>
    <row r="7" spans="1:11">
      <c r="A7" s="283" t="s">
        <v>488</v>
      </c>
      <c r="B7" s="329" t="s">
        <v>676</v>
      </c>
      <c r="C7" s="329">
        <v>2.3E-2</v>
      </c>
      <c r="D7" s="329">
        <v>0.02</v>
      </c>
      <c r="G7" s="283" t="s">
        <v>516</v>
      </c>
      <c r="H7" s="283" t="str">
        <f>IF(Budova!$L$1=1,IF(ISBLANK(Zateplení!F59),"",Zateplení!F59),"")</f>
        <v/>
      </c>
      <c r="I7" s="283">
        <f>IFERROR(IF(Budova!$L$1=1,IF(ISBLANK(Zateplení!F59),0,MATCH(Zateplení!F59,CHOOSE(Budova!$L$1,$B$28:$B$34,$B$35:$B$38),0)),0),0)</f>
        <v>0</v>
      </c>
      <c r="J7" s="334" cm="1">
        <f t="array" ref="J7">IF($I7=0,0,INDEX(CHOOSE(Budova!$J$1,C$14:C$19,C$20:C$23,C$24:C$27),$I7))</f>
        <v>0</v>
      </c>
      <c r="K7" s="334" cm="1">
        <f t="array" ref="K7">IF($I7=0,0,INDEX(CHOOSE(Budova!$J$1,D$14:D$19,D$20:D$23,D$24:D$27),$I7))</f>
        <v>0</v>
      </c>
    </row>
    <row r="8" spans="1:11">
      <c r="A8" s="283" t="s">
        <v>488</v>
      </c>
      <c r="B8" s="329" t="s">
        <v>677</v>
      </c>
      <c r="C8" s="329">
        <v>4.4999999999999998E-2</v>
      </c>
      <c r="D8" s="329">
        <v>0.02</v>
      </c>
      <c r="G8" s="283" t="s">
        <v>544</v>
      </c>
      <c r="H8" s="283" t="str">
        <f>IF(Budova!$L$1=2,IF(ISBLANK(Zateplení!F59),"",Zateplení!F59),"")</f>
        <v/>
      </c>
      <c r="I8" s="283">
        <f>IFERROR(IF(Budova!$L$1=2,IF(ISBLANK(Zateplení!F59),0,MATCH(Zateplení!F59,CHOOSE(Budova!$L$1,$B$28:$B$34,$B$35:$B$38),0)),0),0)</f>
        <v>0</v>
      </c>
      <c r="J8" s="334" cm="1">
        <f t="array" ref="J8">IF($I8=0,0,INDEX(CHOOSE(Budova!$J$1,C$14:C$19,C$20:C$23,C$24:C$27),$I8))</f>
        <v>0</v>
      </c>
      <c r="K8" s="334" cm="1">
        <f t="array" ref="K8">IF($I8=0,0,INDEX(CHOOSE(Budova!$J$1,D$14:D$19,D$20:D$23,D$24:D$27),$I8))</f>
        <v>0</v>
      </c>
    </row>
    <row r="9" spans="1:11">
      <c r="A9" s="283" t="s">
        <v>488</v>
      </c>
      <c r="B9" s="329" t="s">
        <v>678</v>
      </c>
      <c r="C9" s="329">
        <v>2.3E-2</v>
      </c>
      <c r="D9" s="329">
        <v>0.02</v>
      </c>
      <c r="G9" s="283" t="s">
        <v>523</v>
      </c>
      <c r="H9" s="283" t="str">
        <f>IF(ISBLANK(Zateplení!F67),"",Zateplení!F67)</f>
        <v/>
      </c>
      <c r="I9" s="283">
        <f>IF(ISBLANK(Zateplení!F67),0,MATCH(Zateplení!F67,B$39:$B$48,0))</f>
        <v>0</v>
      </c>
    </row>
    <row r="10" spans="1:11">
      <c r="A10" s="283" t="s">
        <v>488</v>
      </c>
      <c r="B10" s="329" t="s">
        <v>679</v>
      </c>
      <c r="C10" s="329">
        <v>4.2000000000000003E-2</v>
      </c>
      <c r="D10" s="329">
        <v>0.02</v>
      </c>
      <c r="G10" s="283" t="s">
        <v>530</v>
      </c>
      <c r="H10" s="283" t="str">
        <f>IF(ISBLANK(Zateplení!F73),"",Zateplení!F73)</f>
        <v/>
      </c>
      <c r="I10" s="283">
        <f>IF(ISBLANK(Zateplení!F73),0,MATCH(Zateplení!F73,B$49:$B$52,0))</f>
        <v>0</v>
      </c>
    </row>
    <row r="11" spans="1:11">
      <c r="A11" s="283" t="s">
        <v>488</v>
      </c>
      <c r="B11" s="329" t="s">
        <v>680</v>
      </c>
      <c r="C11" s="329">
        <v>4.2000000000000003E-2</v>
      </c>
      <c r="D11" s="329">
        <v>0.05</v>
      </c>
      <c r="G11" s="283" t="s">
        <v>537</v>
      </c>
      <c r="H11" s="283" t="str">
        <f>IF(ISBLANK(Zateplení!F79),"",Zateplení!F79)</f>
        <v/>
      </c>
      <c r="I11" s="283">
        <f>IF(ISBLANK(Zateplení!F79),0,MATCH(Zateplení!F79,B$53:$B$59,0))</f>
        <v>0</v>
      </c>
    </row>
    <row r="12" spans="1:11">
      <c r="A12" s="283" t="s">
        <v>488</v>
      </c>
      <c r="B12" s="329" t="s">
        <v>681</v>
      </c>
      <c r="C12" s="329">
        <v>3.9E-2</v>
      </c>
      <c r="D12" s="329">
        <v>0.05</v>
      </c>
    </row>
    <row r="13" spans="1:11">
      <c r="A13" s="283" t="s">
        <v>488</v>
      </c>
      <c r="B13" s="330" t="s">
        <v>682</v>
      </c>
      <c r="C13" s="330">
        <v>2.3E-2</v>
      </c>
      <c r="D13" s="330">
        <v>0.02</v>
      </c>
      <c r="G13" s="283" t="s">
        <v>488</v>
      </c>
      <c r="J13" s="334">
        <f>IFERROR(J3,0)</f>
        <v>0</v>
      </c>
      <c r="K13" s="334">
        <f>IFERROR(K3,0)</f>
        <v>0</v>
      </c>
    </row>
    <row r="14" spans="1:11">
      <c r="A14" s="283" t="s">
        <v>495</v>
      </c>
      <c r="B14" s="328" t="s">
        <v>683</v>
      </c>
      <c r="C14" s="328">
        <v>0.04</v>
      </c>
      <c r="D14" s="328">
        <v>0.02</v>
      </c>
      <c r="G14" s="283" t="s">
        <v>739</v>
      </c>
      <c r="J14" s="334">
        <f>IFERROR(MAX(J4:J6),0)</f>
        <v>0</v>
      </c>
      <c r="K14" s="334">
        <f>IFERROR(MAX(K4:K6),0)</f>
        <v>0</v>
      </c>
    </row>
    <row r="15" spans="1:11">
      <c r="A15" s="283" t="s">
        <v>495</v>
      </c>
      <c r="B15" s="329" t="s">
        <v>684</v>
      </c>
      <c r="C15" s="329">
        <v>3.9E-2</v>
      </c>
      <c r="D15" s="329">
        <v>0.02</v>
      </c>
      <c r="G15" s="283" t="s">
        <v>740</v>
      </c>
      <c r="J15" s="334">
        <f>IFERROR(MAX(J7:J8),0)</f>
        <v>0</v>
      </c>
      <c r="K15" s="334">
        <f>IFERROR(MAX(K7:K8),0)</f>
        <v>0</v>
      </c>
    </row>
    <row r="16" spans="1:11">
      <c r="A16" s="283" t="s">
        <v>495</v>
      </c>
      <c r="B16" s="329" t="s">
        <v>685</v>
      </c>
      <c r="C16" s="329">
        <v>3.4000000000000002E-2</v>
      </c>
      <c r="D16" s="329">
        <v>0.02</v>
      </c>
    </row>
    <row r="17" spans="1:4">
      <c r="A17" s="283" t="s">
        <v>495</v>
      </c>
      <c r="B17" s="329" t="s">
        <v>686</v>
      </c>
      <c r="C17" s="329">
        <v>2.5000000000000001E-2</v>
      </c>
      <c r="D17" s="329">
        <v>0.02</v>
      </c>
    </row>
    <row r="18" spans="1:4">
      <c r="A18" s="283" t="s">
        <v>495</v>
      </c>
      <c r="B18" s="329" t="s">
        <v>687</v>
      </c>
      <c r="C18" s="329">
        <v>0.03</v>
      </c>
      <c r="D18" s="329">
        <v>0.02</v>
      </c>
    </row>
    <row r="19" spans="1:4">
      <c r="A19" s="283" t="s">
        <v>495</v>
      </c>
      <c r="B19" s="330" t="s">
        <v>688</v>
      </c>
      <c r="C19" s="330">
        <v>4.1000000000000002E-2</v>
      </c>
      <c r="D19" s="330">
        <v>0.02</v>
      </c>
    </row>
    <row r="20" spans="1:4">
      <c r="A20" s="283" t="s">
        <v>502</v>
      </c>
      <c r="B20" s="328" t="s">
        <v>689</v>
      </c>
      <c r="C20" s="328">
        <v>0.05</v>
      </c>
      <c r="D20" s="328">
        <v>0</v>
      </c>
    </row>
    <row r="21" spans="1:4">
      <c r="A21" s="283" t="s">
        <v>502</v>
      </c>
      <c r="B21" s="329" t="s">
        <v>690</v>
      </c>
      <c r="C21" s="329">
        <v>0.05</v>
      </c>
      <c r="D21" s="329">
        <v>0</v>
      </c>
    </row>
    <row r="22" spans="1:4">
      <c r="A22" s="283" t="s">
        <v>502</v>
      </c>
      <c r="B22" s="329" t="s">
        <v>691</v>
      </c>
      <c r="C22" s="329">
        <v>2.5000000000000001E-2</v>
      </c>
      <c r="D22" s="329">
        <v>0.02</v>
      </c>
    </row>
    <row r="23" spans="1:4">
      <c r="A23" s="283" t="s">
        <v>502</v>
      </c>
      <c r="B23" s="330" t="s">
        <v>692</v>
      </c>
      <c r="C23" s="330">
        <v>3.5000000000000003E-2</v>
      </c>
      <c r="D23" s="330">
        <v>0.02</v>
      </c>
    </row>
    <row r="24" spans="1:4">
      <c r="A24" s="283" t="s">
        <v>509</v>
      </c>
      <c r="B24" s="331" t="s">
        <v>693</v>
      </c>
      <c r="C24" s="331">
        <v>0.04</v>
      </c>
      <c r="D24" s="331">
        <v>0.02</v>
      </c>
    </row>
    <row r="25" spans="1:4">
      <c r="A25" s="283" t="s">
        <v>509</v>
      </c>
      <c r="B25" s="331" t="s">
        <v>694</v>
      </c>
      <c r="C25" s="331">
        <v>3.9E-2</v>
      </c>
      <c r="D25" s="331">
        <v>0.02</v>
      </c>
    </row>
    <row r="26" spans="1:4">
      <c r="A26" s="283" t="s">
        <v>509</v>
      </c>
      <c r="B26" s="331" t="s">
        <v>695</v>
      </c>
      <c r="C26" s="331">
        <v>0.05</v>
      </c>
      <c r="D26" s="331">
        <v>0.02</v>
      </c>
    </row>
    <row r="27" spans="1:4">
      <c r="A27" s="283" t="s">
        <v>509</v>
      </c>
      <c r="B27" s="331" t="s">
        <v>696</v>
      </c>
      <c r="C27" s="331">
        <v>4.5999999999999999E-2</v>
      </c>
      <c r="D27" s="331">
        <v>0.02</v>
      </c>
    </row>
    <row r="28" spans="1:4" ht="15">
      <c r="A28" t="s">
        <v>516</v>
      </c>
      <c r="B28" s="332" t="s">
        <v>697</v>
      </c>
      <c r="C28" s="332">
        <v>0.04</v>
      </c>
      <c r="D28" s="332">
        <v>0.05</v>
      </c>
    </row>
    <row r="29" spans="1:4" ht="15">
      <c r="A29" t="s">
        <v>516</v>
      </c>
      <c r="B29" s="331" t="s">
        <v>698</v>
      </c>
      <c r="C29" s="331">
        <v>3.9E-2</v>
      </c>
      <c r="D29" s="331">
        <v>0.05</v>
      </c>
    </row>
    <row r="30" spans="1:4" ht="15">
      <c r="A30" t="s">
        <v>516</v>
      </c>
      <c r="B30" s="331" t="s">
        <v>699</v>
      </c>
      <c r="C30" s="331">
        <v>3.4000000000000002E-2</v>
      </c>
      <c r="D30" s="331">
        <v>0.05</v>
      </c>
    </row>
    <row r="31" spans="1:4" ht="15">
      <c r="A31" t="s">
        <v>516</v>
      </c>
      <c r="B31" s="331" t="s">
        <v>700</v>
      </c>
      <c r="C31" s="331">
        <v>2.5000000000000001E-2</v>
      </c>
      <c r="D31" s="331">
        <v>0.05</v>
      </c>
    </row>
    <row r="32" spans="1:4" ht="15">
      <c r="A32" t="s">
        <v>516</v>
      </c>
      <c r="B32" s="331" t="s">
        <v>701</v>
      </c>
      <c r="C32" s="331">
        <v>3.4000000000000002E-2</v>
      </c>
      <c r="D32" s="331">
        <v>0.05</v>
      </c>
    </row>
    <row r="33" spans="1:4" ht="15">
      <c r="A33" t="s">
        <v>516</v>
      </c>
      <c r="B33" s="331" t="s">
        <v>702</v>
      </c>
      <c r="C33" s="331">
        <v>3.9E-2</v>
      </c>
      <c r="D33" s="331">
        <v>0.05</v>
      </c>
    </row>
    <row r="34" spans="1:4" ht="15">
      <c r="A34" t="s">
        <v>516</v>
      </c>
      <c r="B34" s="330" t="s">
        <v>677</v>
      </c>
      <c r="C34" s="330">
        <v>4.4999999999999998E-2</v>
      </c>
      <c r="D34" s="330">
        <v>0.05</v>
      </c>
    </row>
    <row r="35" spans="1:4" ht="15">
      <c r="A35" t="s">
        <v>544</v>
      </c>
      <c r="B35" s="328" t="s">
        <v>703</v>
      </c>
      <c r="C35" s="328">
        <v>4.3999999999999997E-2</v>
      </c>
      <c r="D35" s="328">
        <v>0.02</v>
      </c>
    </row>
    <row r="36" spans="1:4" ht="15">
      <c r="A36" t="s">
        <v>544</v>
      </c>
      <c r="B36" s="329" t="s">
        <v>704</v>
      </c>
      <c r="C36" s="329">
        <v>3.3000000000000002E-2</v>
      </c>
      <c r="D36" s="329">
        <v>0.02</v>
      </c>
    </row>
    <row r="37" spans="1:4" ht="15">
      <c r="A37" t="s">
        <v>544</v>
      </c>
      <c r="B37" s="329" t="s">
        <v>705</v>
      </c>
      <c r="C37" s="329">
        <v>3.2000000000000001E-2</v>
      </c>
      <c r="D37" s="329">
        <v>0.02</v>
      </c>
    </row>
    <row r="38" spans="1:4" ht="15">
      <c r="A38" t="s">
        <v>544</v>
      </c>
      <c r="B38" s="330" t="s">
        <v>706</v>
      </c>
      <c r="C38" s="330">
        <v>4.8000000000000001E-2</v>
      </c>
      <c r="D38" s="330">
        <v>0.02</v>
      </c>
    </row>
    <row r="39" spans="1:4">
      <c r="A39" s="283" t="s">
        <v>523</v>
      </c>
      <c r="B39" s="331" t="s">
        <v>707</v>
      </c>
    </row>
    <row r="40" spans="1:4">
      <c r="A40" s="283" t="s">
        <v>523</v>
      </c>
      <c r="B40" s="331" t="s">
        <v>708</v>
      </c>
    </row>
    <row r="41" spans="1:4">
      <c r="A41" s="283" t="s">
        <v>523</v>
      </c>
      <c r="B41" s="331" t="s">
        <v>709</v>
      </c>
    </row>
    <row r="42" spans="1:4">
      <c r="A42" s="283" t="s">
        <v>523</v>
      </c>
      <c r="B42" s="331" t="s">
        <v>710</v>
      </c>
    </row>
    <row r="43" spans="1:4">
      <c r="A43" s="283" t="s">
        <v>523</v>
      </c>
      <c r="B43" s="331" t="s">
        <v>711</v>
      </c>
    </row>
    <row r="44" spans="1:4">
      <c r="A44" s="283" t="s">
        <v>523</v>
      </c>
      <c r="B44" s="331" t="s">
        <v>712</v>
      </c>
    </row>
    <row r="45" spans="1:4">
      <c r="A45" s="283" t="s">
        <v>523</v>
      </c>
      <c r="B45" s="331" t="s">
        <v>713</v>
      </c>
    </row>
    <row r="46" spans="1:4">
      <c r="A46" s="283" t="s">
        <v>523</v>
      </c>
      <c r="B46" s="331" t="s">
        <v>714</v>
      </c>
    </row>
    <row r="47" spans="1:4">
      <c r="A47" s="283" t="s">
        <v>523</v>
      </c>
      <c r="B47" s="331" t="s">
        <v>715</v>
      </c>
    </row>
    <row r="48" spans="1:4">
      <c r="A48" s="283" t="s">
        <v>523</v>
      </c>
      <c r="B48" s="333" t="s">
        <v>716</v>
      </c>
    </row>
    <row r="49" spans="1:2">
      <c r="A49" s="283" t="s">
        <v>530</v>
      </c>
      <c r="B49" s="332" t="s">
        <v>717</v>
      </c>
    </row>
    <row r="50" spans="1:2">
      <c r="A50" s="283" t="s">
        <v>530</v>
      </c>
      <c r="B50" s="331" t="s">
        <v>718</v>
      </c>
    </row>
    <row r="51" spans="1:2">
      <c r="A51" s="283" t="s">
        <v>530</v>
      </c>
      <c r="B51" s="331" t="s">
        <v>719</v>
      </c>
    </row>
    <row r="52" spans="1:2">
      <c r="A52" s="283" t="s">
        <v>530</v>
      </c>
      <c r="B52" s="333" t="s">
        <v>720</v>
      </c>
    </row>
    <row r="53" spans="1:2">
      <c r="A53" s="283" t="s">
        <v>537</v>
      </c>
      <c r="B53" s="332" t="s">
        <v>707</v>
      </c>
    </row>
    <row r="54" spans="1:2">
      <c r="A54" s="283" t="s">
        <v>537</v>
      </c>
      <c r="B54" s="331" t="s">
        <v>708</v>
      </c>
    </row>
    <row r="55" spans="1:2">
      <c r="A55" s="283" t="s">
        <v>537</v>
      </c>
      <c r="B55" s="331" t="s">
        <v>709</v>
      </c>
    </row>
    <row r="56" spans="1:2">
      <c r="A56" s="283" t="s">
        <v>537</v>
      </c>
      <c r="B56" s="331" t="s">
        <v>713</v>
      </c>
    </row>
    <row r="57" spans="1:2">
      <c r="A57" s="283" t="s">
        <v>537</v>
      </c>
      <c r="B57" s="331" t="s">
        <v>712</v>
      </c>
    </row>
    <row r="58" spans="1:2">
      <c r="A58" s="283" t="s">
        <v>537</v>
      </c>
      <c r="B58" s="331" t="s">
        <v>714</v>
      </c>
    </row>
    <row r="59" spans="1:2">
      <c r="A59" s="283" t="s">
        <v>537</v>
      </c>
      <c r="B59" s="333" t="s">
        <v>721</v>
      </c>
    </row>
  </sheetData>
  <sheetProtection algorithmName="SHA-512" hashValue="X/pNF0TKA1sS/6EQ/ux86H0kmZHA6kVQ95IoC6iODkI6EJ392KoD/9LTkAjqdD8ORqK5BDGeVuQit8isCwxjBg==" saltValue="3yngPKTLFgLCzqb+76ph8Q==" spinCount="100000" sheet="1" objects="1" scenarios="1"/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000CBD-929A-42CF-AAA2-E17195268DBA}">
  <sheetPr codeName="List15"/>
  <dimension ref="A1:B1"/>
  <sheetViews>
    <sheetView workbookViewId="0"/>
  </sheetViews>
  <sheetFormatPr defaultRowHeight="15"/>
  <cols>
    <col min="1" max="1" width="32.42578125" bestFit="1" customWidth="1"/>
  </cols>
  <sheetData>
    <row r="1" spans="1:2">
      <c r="A1" t="s">
        <v>783</v>
      </c>
      <c r="B1" s="167">
        <v>0.67</v>
      </c>
    </row>
  </sheetData>
  <sheetProtection algorithmName="SHA-512" hashValue="mTEMEB+CxuT9ypBEkh9289JLlceEifRq/yTIr2GJ91D1HllA74K0W2qDFbnYuc0529M6cVbT9uo3+S9wnFgZ5Q==" saltValue="2AjYIw6gXBVIY4r/OkyAmA==" spinCount="100000" sheet="1" objects="1" scenarios="1"/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19CF51-F6FF-4794-90B5-C152D963AAE0}">
  <sheetPr codeName="List6"/>
  <dimension ref="A1:AB36"/>
  <sheetViews>
    <sheetView workbookViewId="0"/>
  </sheetViews>
  <sheetFormatPr defaultRowHeight="15"/>
  <cols>
    <col min="1" max="1" width="40" bestFit="1" customWidth="1"/>
    <col min="2" max="2" width="33.85546875" bestFit="1" customWidth="1"/>
    <col min="3" max="3" width="21.7109375" bestFit="1" customWidth="1"/>
    <col min="4" max="4" width="20.140625" customWidth="1"/>
    <col min="5" max="5" width="20.140625" bestFit="1" customWidth="1"/>
    <col min="6" max="6" width="20.85546875" bestFit="1" customWidth="1"/>
    <col min="7" max="7" width="27.85546875" customWidth="1"/>
    <col min="9" max="9" width="13.28515625" bestFit="1" customWidth="1"/>
    <col min="11" max="11" width="29.7109375" bestFit="1" customWidth="1"/>
    <col min="13" max="13" width="14.28515625" bestFit="1" customWidth="1"/>
    <col min="14" max="14" width="18.5703125" bestFit="1" customWidth="1"/>
    <col min="17" max="17" width="31.7109375" bestFit="1" customWidth="1"/>
    <col min="21" max="21" width="25" bestFit="1" customWidth="1"/>
    <col min="22" max="22" width="13.28515625" bestFit="1" customWidth="1"/>
    <col min="23" max="24" width="20.85546875" bestFit="1" customWidth="1"/>
    <col min="25" max="25" width="14.28515625" bestFit="1" customWidth="1"/>
    <col min="26" max="26" width="20.140625" bestFit="1" customWidth="1"/>
    <col min="27" max="27" width="18.5703125" bestFit="1" customWidth="1"/>
    <col min="28" max="28" width="28.85546875" bestFit="1" customWidth="1"/>
  </cols>
  <sheetData>
    <row r="1" spans="1:28">
      <c r="B1" s="82" t="s">
        <v>183</v>
      </c>
    </row>
    <row r="3" spans="1:28">
      <c r="A3" t="s">
        <v>202</v>
      </c>
      <c r="B3">
        <f>IFERROR(MATCH(Zdroj!E4,B7:G7,0),0)</f>
        <v>0</v>
      </c>
    </row>
    <row r="4" spans="1:28">
      <c r="A4" t="s">
        <v>205</v>
      </c>
      <c r="B4" cm="1">
        <f t="array" ref="B4:G4">INDEX($B$5:$G$5,1,B3)</f>
        <v>4</v>
      </c>
      <c r="C4">
        <v>1</v>
      </c>
      <c r="D4">
        <v>1</v>
      </c>
      <c r="E4">
        <v>1</v>
      </c>
      <c r="F4">
        <v>1</v>
      </c>
      <c r="G4">
        <v>7</v>
      </c>
      <c r="M4" t="s">
        <v>214</v>
      </c>
      <c r="N4" t="e">
        <f>MATCH(Zdroj!I6,TStarýKotelHelp[Nositel],0)</f>
        <v>#N/A</v>
      </c>
    </row>
    <row r="5" spans="1:28">
      <c r="A5" t="s">
        <v>203</v>
      </c>
      <c r="B5">
        <f>COUNTA(TStaréKotle[kotel na tuhá paliva])</f>
        <v>4</v>
      </c>
      <c r="C5">
        <f>COUNTA(TStaréKotle[kotel na zemní plyn])</f>
        <v>1</v>
      </c>
      <c r="D5">
        <f>COUNTA(TStaréKotle[elektrokotel])</f>
        <v>1</v>
      </c>
      <c r="E5">
        <f>COUNTA(TStaréKotle[kotel na topný olej])</f>
        <v>1</v>
      </c>
      <c r="F5">
        <f>COUNTA(TStaréKotle[tepelné čerpadlo])</f>
        <v>1</v>
      </c>
      <c r="G5">
        <f>COUNTA(TStaréKotle[centrální zásobování teplem])</f>
        <v>7</v>
      </c>
      <c r="M5" t="s">
        <v>29</v>
      </c>
      <c r="N5" t="str" cm="1">
        <f t="array" ref="N5">IFERROR(IF(ZdrojIdxOld=6,"GJ",INDEX(TStarýKotelHelp[Jednotka],N4)),"")</f>
        <v/>
      </c>
    </row>
    <row r="6" spans="1:28">
      <c r="A6" t="s">
        <v>204</v>
      </c>
      <c r="B6" t="b">
        <f>IFERROR(MATCH(Zdroj!$E$6,TStaréKotle[kotel na tuhá paliva],0),0)&gt;0</f>
        <v>0</v>
      </c>
      <c r="C6" t="b">
        <f>IFERROR(MATCH(Zdroj!$E$6,TStaréKotle[kotel na zemní plyn],0),0)&gt;0</f>
        <v>0</v>
      </c>
      <c r="D6" t="b">
        <f>IFERROR(MATCH(Zdroj!$E$6,TStaréKotle[elektrokotel],0),0)&gt;0</f>
        <v>0</v>
      </c>
      <c r="E6" t="b">
        <f>IFERROR(MATCH(Zdroj!$E$6,TStaréKotle[kotel na topný olej],0),0)&gt;0</f>
        <v>0</v>
      </c>
      <c r="F6" t="b">
        <f>IFERROR(MATCH(Zdroj!$E$6,TStaréKotle[tepelné čerpadlo],0),0)&gt;0</f>
        <v>0</v>
      </c>
      <c r="G6" t="b">
        <f>IFERROR(MATCH(Zdroj!$E$6,TStaréKotle[centrální zásobování teplem],0),0)&gt;0</f>
        <v>0</v>
      </c>
      <c r="I6">
        <f>IFERROR(MATCH(Zdroj!E5,TStáříKotle[Stáří kotle],0),0)</f>
        <v>0</v>
      </c>
      <c r="K6">
        <f>IF(ISBLANK(Zdroj!E7),0,MATCH(Zdroj!E7,TTypSZT[typ SZT],0))</f>
        <v>0</v>
      </c>
      <c r="M6" t="s">
        <v>208</v>
      </c>
      <c r="N6" t="str" cm="1">
        <f t="array" ref="N6">IFERROR(IF(ZdrojIdxOld=6,"tepla",INDEX(TStarýKotelHelp[Text],N4)),"")</f>
        <v/>
      </c>
      <c r="U6" t="s">
        <v>228</v>
      </c>
      <c r="V6" cm="1">
        <f t="array" ref="V6">IF(AND(ZdrojIdxOld&gt;0,I6&gt;0),INDEX(TEtaZdrojOld[[kotel na tuhá paliva]:[centrální zásobování teplem]],I6,ZdrojIdxOld),0)</f>
        <v>0</v>
      </c>
    </row>
    <row r="7" spans="1:28">
      <c r="A7" s="82" t="s">
        <v>643</v>
      </c>
      <c r="B7" t="s">
        <v>144</v>
      </c>
      <c r="C7" t="s">
        <v>184</v>
      </c>
      <c r="D7" t="s">
        <v>185</v>
      </c>
      <c r="E7" t="s">
        <v>186</v>
      </c>
      <c r="F7" t="s">
        <v>187</v>
      </c>
      <c r="G7" t="s">
        <v>188</v>
      </c>
      <c r="I7" t="s">
        <v>198</v>
      </c>
      <c r="K7" t="s">
        <v>206</v>
      </c>
      <c r="M7" t="s">
        <v>210</v>
      </c>
      <c r="N7" t="s">
        <v>29</v>
      </c>
      <c r="O7" t="s">
        <v>208</v>
      </c>
      <c r="V7" t="s">
        <v>227</v>
      </c>
      <c r="W7" t="s">
        <v>144</v>
      </c>
      <c r="X7" t="s">
        <v>184</v>
      </c>
      <c r="Y7" t="s">
        <v>185</v>
      </c>
      <c r="Z7" t="s">
        <v>186</v>
      </c>
      <c r="AA7" t="s">
        <v>187</v>
      </c>
      <c r="AB7" t="s">
        <v>188</v>
      </c>
    </row>
    <row r="8" spans="1:28">
      <c r="A8" t="str">
        <f>ADDRESS(ROW(),COLUMN()+ZdrojIdxOld,1,1,"ParametryZdroje") &amp; ":" &amp; ADDRESS(ROW(A8)+ZdrojPočetPaliv-1,COLUMN()+ZdrojIdxOld,1,1)</f>
        <v>ParametryZdroje!$A$8:$A$11</v>
      </c>
      <c r="B8" t="s">
        <v>189</v>
      </c>
      <c r="C8" t="s">
        <v>190</v>
      </c>
      <c r="D8" t="s">
        <v>191</v>
      </c>
      <c r="E8" t="s">
        <v>192</v>
      </c>
      <c r="F8" t="s">
        <v>191</v>
      </c>
      <c r="G8" t="s">
        <v>190</v>
      </c>
      <c r="I8" t="s">
        <v>195</v>
      </c>
      <c r="K8" t="s">
        <v>942</v>
      </c>
      <c r="M8" t="s">
        <v>193</v>
      </c>
      <c r="N8" t="s">
        <v>98</v>
      </c>
      <c r="O8" t="s">
        <v>211</v>
      </c>
      <c r="Q8" t="s">
        <v>221</v>
      </c>
      <c r="R8" t="s">
        <v>222</v>
      </c>
      <c r="S8" s="167">
        <v>0.05</v>
      </c>
      <c r="T8" s="167"/>
      <c r="V8" t="s">
        <v>195</v>
      </c>
      <c r="W8">
        <v>0.6</v>
      </c>
      <c r="X8">
        <v>0.65</v>
      </c>
      <c r="Y8">
        <v>0.95</v>
      </c>
      <c r="Z8">
        <v>0.6</v>
      </c>
      <c r="AA8">
        <v>1.5</v>
      </c>
      <c r="AB8">
        <v>1</v>
      </c>
    </row>
    <row r="9" spans="1:28">
      <c r="B9" t="s">
        <v>193</v>
      </c>
      <c r="G9" t="s">
        <v>189</v>
      </c>
      <c r="I9" t="s">
        <v>196</v>
      </c>
      <c r="K9" t="s">
        <v>207</v>
      </c>
      <c r="M9" t="s">
        <v>191</v>
      </c>
      <c r="N9" t="s">
        <v>8</v>
      </c>
      <c r="O9" t="s">
        <v>212</v>
      </c>
      <c r="Q9" t="s">
        <v>223</v>
      </c>
      <c r="R9" t="s">
        <v>222</v>
      </c>
      <c r="S9" s="167">
        <v>0.95</v>
      </c>
      <c r="T9" s="167"/>
      <c r="V9" t="s">
        <v>196</v>
      </c>
      <c r="W9">
        <v>0.72</v>
      </c>
      <c r="X9">
        <v>0.8</v>
      </c>
      <c r="Y9">
        <v>0.95</v>
      </c>
      <c r="Z9">
        <v>0.72</v>
      </c>
      <c r="AA9">
        <v>2</v>
      </c>
      <c r="AB9">
        <v>1</v>
      </c>
    </row>
    <row r="10" spans="1:28">
      <c r="B10" t="s">
        <v>148</v>
      </c>
      <c r="G10" t="s">
        <v>193</v>
      </c>
      <c r="I10" t="s">
        <v>146</v>
      </c>
      <c r="M10" t="s">
        <v>189</v>
      </c>
      <c r="N10" t="s">
        <v>98</v>
      </c>
      <c r="O10" t="s">
        <v>211</v>
      </c>
      <c r="Q10" t="s">
        <v>224</v>
      </c>
      <c r="R10" t="s">
        <v>225</v>
      </c>
      <c r="S10">
        <v>1</v>
      </c>
      <c r="V10" t="s">
        <v>146</v>
      </c>
      <c r="W10">
        <v>0.77</v>
      </c>
      <c r="X10">
        <v>0.85</v>
      </c>
      <c r="Y10">
        <v>0.95</v>
      </c>
      <c r="Z10">
        <v>0.77</v>
      </c>
      <c r="AA10">
        <v>2.5</v>
      </c>
      <c r="AB10">
        <v>1</v>
      </c>
    </row>
    <row r="11" spans="1:28">
      <c r="B11" t="s">
        <v>194</v>
      </c>
      <c r="G11" t="s">
        <v>148</v>
      </c>
      <c r="I11" t="s">
        <v>197</v>
      </c>
      <c r="M11" t="s">
        <v>148</v>
      </c>
      <c r="N11" t="s">
        <v>98</v>
      </c>
      <c r="O11" t="s">
        <v>211</v>
      </c>
      <c r="Q11" t="s">
        <v>226</v>
      </c>
      <c r="R11" t="s">
        <v>225</v>
      </c>
      <c r="S11">
        <v>6</v>
      </c>
      <c r="V11" t="s">
        <v>197</v>
      </c>
      <c r="W11">
        <v>0.79</v>
      </c>
      <c r="X11">
        <v>0.92</v>
      </c>
      <c r="Y11">
        <v>0.98</v>
      </c>
      <c r="Z11">
        <v>0.79</v>
      </c>
      <c r="AA11">
        <v>3</v>
      </c>
      <c r="AB11">
        <v>1</v>
      </c>
    </row>
    <row r="12" spans="1:28">
      <c r="G12" t="s">
        <v>194</v>
      </c>
      <c r="M12" t="s">
        <v>194</v>
      </c>
      <c r="N12" t="s">
        <v>98</v>
      </c>
      <c r="O12" t="s">
        <v>211</v>
      </c>
    </row>
    <row r="13" spans="1:28">
      <c r="G13" t="s">
        <v>191</v>
      </c>
      <c r="M13" t="s">
        <v>192</v>
      </c>
      <c r="N13" t="s">
        <v>213</v>
      </c>
      <c r="O13" t="s">
        <v>211</v>
      </c>
    </row>
    <row r="14" spans="1:28">
      <c r="G14" t="s">
        <v>192</v>
      </c>
      <c r="M14" t="s">
        <v>190</v>
      </c>
      <c r="N14" t="s">
        <v>209</v>
      </c>
      <c r="O14" t="s">
        <v>211</v>
      </c>
    </row>
    <row r="16" spans="1:28">
      <c r="A16" t="s">
        <v>927</v>
      </c>
      <c r="B16" s="388">
        <f>IF(ZdrojIdxOld=5,Zdroj!I12,Zdroj!I10)</f>
        <v>0</v>
      </c>
    </row>
    <row r="21" spans="1:7">
      <c r="B21" s="82" t="s">
        <v>239</v>
      </c>
    </row>
    <row r="23" spans="1:7">
      <c r="A23" t="s">
        <v>202</v>
      </c>
      <c r="B23">
        <f>IFERROR(MATCH(Zdroj!E16,TNovýKotel[kotel],0),0)</f>
        <v>0</v>
      </c>
    </row>
    <row r="24" spans="1:7">
      <c r="A24" t="s">
        <v>240</v>
      </c>
      <c r="B24" t="str" cm="1">
        <f t="array" ref="B24">IF(ZdrojIdxNew&lt;&gt;0,INDEX(TNovýKotel[palivo],B23),"")</f>
        <v/>
      </c>
    </row>
    <row r="25" spans="1:7">
      <c r="A25" t="s">
        <v>241</v>
      </c>
      <c r="B25" cm="1">
        <f t="array" ref="B25">IF(ZdrojIdxNew&lt;&gt;0,INDEX(TNovýKotel[minimální účinnost],B23),0)</f>
        <v>0</v>
      </c>
    </row>
    <row r="26" spans="1:7">
      <c r="A26" t="s">
        <v>242</v>
      </c>
      <c r="B26" cm="1">
        <f t="array" ref="B26">IF(ZdrojIdxNew&lt;&gt;0,INDEX(TNovýKotel[defaultní účinnost],B23),0)</f>
        <v>0</v>
      </c>
    </row>
    <row r="27" spans="1:7">
      <c r="A27" t="s">
        <v>248</v>
      </c>
      <c r="B27" cm="1">
        <f t="array" ref="B27">IF(ZdrojIdxNew&lt;&gt;0,INDEX(TNovýKotel[maximální ůčinnost],B23),0)</f>
        <v>0</v>
      </c>
    </row>
    <row r="28" spans="1:7">
      <c r="A28" t="s">
        <v>244</v>
      </c>
      <c r="B28" s="168" cm="1">
        <f t="array" ref="B28">IF(ZdrojIdxNew&lt;&gt;0,INDEX(TNovýKotel[maximální výkon],B23),0)</f>
        <v>0</v>
      </c>
    </row>
    <row r="29" spans="1:7">
      <c r="A29" s="82"/>
      <c r="B29" t="s">
        <v>236</v>
      </c>
      <c r="C29" t="s">
        <v>235</v>
      </c>
      <c r="D29" t="s">
        <v>237</v>
      </c>
      <c r="E29" t="s">
        <v>238</v>
      </c>
      <c r="F29" t="s">
        <v>243</v>
      </c>
      <c r="G29" t="s">
        <v>245</v>
      </c>
    </row>
    <row r="30" spans="1:7">
      <c r="B30" t="s">
        <v>231</v>
      </c>
      <c r="C30" t="s">
        <v>194</v>
      </c>
      <c r="D30">
        <v>0.8</v>
      </c>
      <c r="E30">
        <v>0.81</v>
      </c>
      <c r="F30">
        <v>1.1100000000000001</v>
      </c>
      <c r="G30" s="168">
        <v>5000</v>
      </c>
    </row>
    <row r="31" spans="1:7">
      <c r="B31" t="s">
        <v>165</v>
      </c>
      <c r="C31" t="s">
        <v>234</v>
      </c>
      <c r="D31">
        <v>0.8</v>
      </c>
      <c r="E31">
        <v>0.81</v>
      </c>
      <c r="F31">
        <v>1.1100000000000001</v>
      </c>
      <c r="G31" s="168">
        <v>5000</v>
      </c>
    </row>
    <row r="32" spans="1:7">
      <c r="B32" t="s">
        <v>232</v>
      </c>
      <c r="C32" t="s">
        <v>233</v>
      </c>
      <c r="D32">
        <v>0.8</v>
      </c>
      <c r="E32">
        <v>0.92</v>
      </c>
      <c r="F32">
        <v>1.1100000000000001</v>
      </c>
      <c r="G32" s="168">
        <v>5000</v>
      </c>
    </row>
    <row r="33" spans="1:7">
      <c r="B33" t="s">
        <v>187</v>
      </c>
      <c r="C33" t="s">
        <v>191</v>
      </c>
      <c r="D33">
        <v>2.8</v>
      </c>
      <c r="E33">
        <v>3</v>
      </c>
      <c r="F33">
        <v>6</v>
      </c>
      <c r="G33" s="168">
        <v>50000</v>
      </c>
    </row>
    <row r="36" spans="1:7">
      <c r="A36" t="s">
        <v>927</v>
      </c>
      <c r="B36" s="388">
        <f>IF(ZdrojIdxNew=4,Zdroj!I21,Zdroj!I18)</f>
        <v>0</v>
      </c>
    </row>
  </sheetData>
  <sheetProtection algorithmName="SHA-512" hashValue="NTA4sTEVG4FPwdX07qRZHJa0nnqN9S/v2ZzHlnURUFapne8pUQ3FCyT8GH9vwgvARjG6ztdab5FX9d6cTMoYOQ==" saltValue="AwR578hcehYoN8Vh3cmNYg==" spinCount="100000" sheet="1" objects="1" scenarios="1"/>
  <pageMargins left="0.7" right="0.7" top="0.78740157499999996" bottom="0.78740157499999996" header="0.3" footer="0.3"/>
  <tableParts count="6">
    <tablePart r:id="rId1"/>
    <tablePart r:id="rId2"/>
    <tablePart r:id="rId3"/>
    <tablePart r:id="rId4"/>
    <tablePart r:id="rId5"/>
    <tablePart r:id="rId6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445390-CF6D-4585-8BD8-0B0710C400A6}">
  <sheetPr codeName="List17"/>
  <dimension ref="A1:Q45"/>
  <sheetViews>
    <sheetView workbookViewId="0"/>
  </sheetViews>
  <sheetFormatPr defaultRowHeight="15"/>
  <cols>
    <col min="1" max="1" width="13.85546875" bestFit="1" customWidth="1"/>
    <col min="2" max="2" width="12.42578125" customWidth="1"/>
    <col min="3" max="3" width="45.7109375" bestFit="1" customWidth="1"/>
    <col min="4" max="4" width="11.28515625" bestFit="1" customWidth="1"/>
    <col min="5" max="5" width="11" customWidth="1"/>
    <col min="6" max="6" width="15.42578125" bestFit="1" customWidth="1"/>
    <col min="7" max="7" width="20.42578125" bestFit="1" customWidth="1"/>
    <col min="8" max="8" width="11.5703125" customWidth="1"/>
    <col min="9" max="9" width="16.140625" bestFit="1" customWidth="1"/>
    <col min="10" max="10" width="56.42578125" bestFit="1" customWidth="1"/>
    <col min="11" max="11" width="7.85546875" bestFit="1" customWidth="1"/>
    <col min="12" max="12" width="16.42578125" bestFit="1" customWidth="1"/>
    <col min="13" max="13" width="11" bestFit="1" customWidth="1"/>
    <col min="14" max="14" width="17.7109375" bestFit="1" customWidth="1"/>
    <col min="15" max="15" width="11.42578125" bestFit="1" customWidth="1"/>
    <col min="16" max="16" width="12" bestFit="1" customWidth="1"/>
  </cols>
  <sheetData>
    <row r="1" spans="1:17" ht="18">
      <c r="C1" s="461" t="s">
        <v>210</v>
      </c>
      <c r="D1" s="461" t="s">
        <v>29</v>
      </c>
      <c r="E1" s="461" t="s">
        <v>905</v>
      </c>
      <c r="F1" s="461" t="s">
        <v>906</v>
      </c>
      <c r="G1" s="461" t="s">
        <v>917</v>
      </c>
      <c r="H1" s="461" t="s">
        <v>908</v>
      </c>
      <c r="I1" s="461" t="s">
        <v>909</v>
      </c>
      <c r="J1" s="461" t="s">
        <v>910</v>
      </c>
      <c r="K1" s="461" t="s">
        <v>911</v>
      </c>
      <c r="L1" s="461" t="s">
        <v>912</v>
      </c>
      <c r="M1" s="461" t="s">
        <v>913</v>
      </c>
      <c r="N1" s="461" t="s">
        <v>914</v>
      </c>
      <c r="O1" s="461" t="s">
        <v>915</v>
      </c>
      <c r="P1" s="461" t="s">
        <v>916</v>
      </c>
      <c r="Q1" s="461" t="s">
        <v>928</v>
      </c>
    </row>
    <row r="2" spans="1:17">
      <c r="C2" s="458" t="s">
        <v>189</v>
      </c>
      <c r="D2" s="458" t="s">
        <v>98</v>
      </c>
      <c r="E2" s="458">
        <v>1.7999999999999999E-2</v>
      </c>
      <c r="F2" s="458" t="s">
        <v>424</v>
      </c>
      <c r="G2" s="460">
        <v>99.1</v>
      </c>
      <c r="H2" s="458">
        <v>3.4</v>
      </c>
      <c r="I2" s="458" t="s">
        <v>425</v>
      </c>
      <c r="J2" s="459" t="s">
        <v>426</v>
      </c>
      <c r="K2" s="458">
        <v>0.70399999999999996</v>
      </c>
      <c r="L2" s="458" t="s">
        <v>395</v>
      </c>
      <c r="M2" s="458">
        <f>K2/1000</f>
        <v>7.0399999999999998E-4</v>
      </c>
      <c r="N2" s="458" t="s">
        <v>427</v>
      </c>
      <c r="O2" s="487">
        <v>0.995</v>
      </c>
      <c r="P2" s="487">
        <v>0.95200000000000007</v>
      </c>
      <c r="Q2" s="458">
        <v>1</v>
      </c>
    </row>
    <row r="3" spans="1:17">
      <c r="C3" s="458" t="s">
        <v>193</v>
      </c>
      <c r="D3" s="458" t="s">
        <v>98</v>
      </c>
      <c r="E3" s="458">
        <v>3.1E-2</v>
      </c>
      <c r="F3" s="458" t="s">
        <v>424</v>
      </c>
      <c r="G3" s="460">
        <v>92.4</v>
      </c>
      <c r="H3" s="458">
        <v>5.5</v>
      </c>
      <c r="I3" s="458" t="s">
        <v>425</v>
      </c>
      <c r="J3" s="459" t="s">
        <v>428</v>
      </c>
      <c r="K3" s="458">
        <v>1.23</v>
      </c>
      <c r="L3" s="458" t="s">
        <v>395</v>
      </c>
      <c r="M3" s="458">
        <f>K3/1000</f>
        <v>1.23E-3</v>
      </c>
      <c r="N3" s="458" t="s">
        <v>427</v>
      </c>
      <c r="O3" s="487">
        <v>0.998</v>
      </c>
      <c r="P3" s="487">
        <v>0.98099999999999998</v>
      </c>
      <c r="Q3" s="458">
        <v>2</v>
      </c>
    </row>
    <row r="4" spans="1:17">
      <c r="C4" s="458" t="s">
        <v>148</v>
      </c>
      <c r="D4" s="458" t="s">
        <v>98</v>
      </c>
      <c r="E4" s="458">
        <v>1.4E-2</v>
      </c>
      <c r="F4" s="458" t="s">
        <v>424</v>
      </c>
      <c r="G4" s="458">
        <v>0</v>
      </c>
      <c r="H4" s="458">
        <v>3.5</v>
      </c>
      <c r="I4" s="458" t="s">
        <v>425</v>
      </c>
      <c r="J4" s="459" t="s">
        <v>429</v>
      </c>
      <c r="K4" s="458">
        <v>2.12</v>
      </c>
      <c r="L4" s="458" t="s">
        <v>395</v>
      </c>
      <c r="M4" s="458">
        <f>K4/1000</f>
        <v>2.1199999999999999E-3</v>
      </c>
      <c r="N4" s="458" t="s">
        <v>427</v>
      </c>
      <c r="O4" s="487">
        <v>0.998</v>
      </c>
      <c r="P4" s="487">
        <v>0.99099999999999999</v>
      </c>
      <c r="Q4" s="458">
        <v>3</v>
      </c>
    </row>
    <row r="5" spans="1:17">
      <c r="C5" s="458" t="s">
        <v>194</v>
      </c>
      <c r="D5" s="458" t="s">
        <v>98</v>
      </c>
      <c r="E5" s="458">
        <v>1.7000000000000001E-2</v>
      </c>
      <c r="F5" s="458" t="s">
        <v>424</v>
      </c>
      <c r="G5" s="458">
        <v>0</v>
      </c>
      <c r="H5" s="458">
        <v>5.4</v>
      </c>
      <c r="I5" s="458" t="s">
        <v>425</v>
      </c>
      <c r="J5" s="459" t="s">
        <v>431</v>
      </c>
      <c r="K5" s="458">
        <v>0.26400000000000001</v>
      </c>
      <c r="L5" s="458" t="s">
        <v>432</v>
      </c>
      <c r="M5" s="458">
        <f>K5/1000</f>
        <v>2.6400000000000002E-4</v>
      </c>
      <c r="N5" s="458" t="s">
        <v>427</v>
      </c>
      <c r="O5" s="487">
        <v>0.998</v>
      </c>
      <c r="P5" s="487">
        <v>0.98799999999999999</v>
      </c>
      <c r="Q5" s="458">
        <v>4</v>
      </c>
    </row>
    <row r="6" spans="1:17" ht="16.5">
      <c r="C6" s="458" t="s">
        <v>190</v>
      </c>
      <c r="D6" s="458" t="s">
        <v>418</v>
      </c>
      <c r="E6" s="458">
        <v>3.4000000000000002E-2</v>
      </c>
      <c r="F6" s="458" t="s">
        <v>419</v>
      </c>
      <c r="G6" s="458">
        <v>55.4</v>
      </c>
      <c r="H6" s="458">
        <v>10</v>
      </c>
      <c r="I6" s="458" t="s">
        <v>420</v>
      </c>
      <c r="J6" s="459" t="s">
        <v>421</v>
      </c>
      <c r="K6" s="458">
        <v>6.9</v>
      </c>
      <c r="L6" s="458" t="s">
        <v>422</v>
      </c>
      <c r="M6" s="458">
        <f>K6/1000000</f>
        <v>6.9E-6</v>
      </c>
      <c r="N6" s="458" t="s">
        <v>423</v>
      </c>
      <c r="O6" s="487">
        <v>1</v>
      </c>
      <c r="P6" s="487">
        <v>1</v>
      </c>
      <c r="Q6" s="458">
        <v>5</v>
      </c>
    </row>
    <row r="7" spans="1:17">
      <c r="C7" s="458" t="s">
        <v>191</v>
      </c>
      <c r="D7" s="458" t="s">
        <v>8</v>
      </c>
      <c r="E7" s="458">
        <v>3.5999999999999999E-3</v>
      </c>
      <c r="F7" s="458" t="s">
        <v>434</v>
      </c>
      <c r="G7" s="458">
        <v>239</v>
      </c>
      <c r="H7" s="458">
        <v>2.67</v>
      </c>
      <c r="I7" s="458" t="s">
        <v>435</v>
      </c>
      <c r="J7" s="459" t="s">
        <v>436</v>
      </c>
      <c r="K7">
        <v>3.6799999999999999E-2</v>
      </c>
      <c r="L7" t="s">
        <v>437</v>
      </c>
      <c r="M7" s="458">
        <f>K7/1000</f>
        <v>3.68E-5</v>
      </c>
      <c r="N7" s="458" t="s">
        <v>438</v>
      </c>
      <c r="O7" s="487">
        <v>0.85</v>
      </c>
      <c r="P7" s="487">
        <v>0.65</v>
      </c>
      <c r="Q7" s="458">
        <v>6</v>
      </c>
    </row>
    <row r="8" spans="1:17">
      <c r="C8" s="458" t="s">
        <v>192</v>
      </c>
      <c r="D8" s="458" t="s">
        <v>213</v>
      </c>
      <c r="E8" s="458">
        <f>0.041*0.845</f>
        <v>3.4645000000000002E-2</v>
      </c>
      <c r="F8" s="458" t="s">
        <v>439</v>
      </c>
      <c r="G8" s="460">
        <v>73.3</v>
      </c>
      <c r="H8" s="458">
        <v>29.83</v>
      </c>
      <c r="I8" s="458" t="s">
        <v>440</v>
      </c>
      <c r="J8" s="459" t="s">
        <v>441</v>
      </c>
      <c r="K8" s="458">
        <v>6.4000000000000001E-2</v>
      </c>
      <c r="L8" s="458" t="s">
        <v>432</v>
      </c>
      <c r="M8" s="458">
        <f>K8/1000*0.92</f>
        <v>5.8879999999999999E-5</v>
      </c>
      <c r="N8" s="458" t="s">
        <v>442</v>
      </c>
      <c r="O8" s="487">
        <v>0.93</v>
      </c>
      <c r="P8" s="487">
        <v>0.67</v>
      </c>
      <c r="Q8" s="458">
        <v>7</v>
      </c>
    </row>
    <row r="9" spans="1:17">
      <c r="C9" s="458" t="s">
        <v>234</v>
      </c>
      <c r="D9" s="458" t="s">
        <v>98</v>
      </c>
      <c r="E9" s="458">
        <v>1.7000000000000001E-2</v>
      </c>
      <c r="F9" s="458" t="s">
        <v>424</v>
      </c>
      <c r="G9" s="458">
        <v>0</v>
      </c>
      <c r="H9" s="458">
        <v>0</v>
      </c>
      <c r="I9" s="458" t="s">
        <v>425</v>
      </c>
      <c r="J9" s="459" t="s">
        <v>430</v>
      </c>
      <c r="K9" s="458">
        <v>2.12</v>
      </c>
      <c r="L9" s="458" t="s">
        <v>395</v>
      </c>
      <c r="M9" s="458">
        <f>K9/1000</f>
        <v>2.1199999999999999E-3</v>
      </c>
      <c r="N9" s="458" t="s">
        <v>427</v>
      </c>
      <c r="O9" s="487">
        <v>0.998</v>
      </c>
      <c r="P9" s="487">
        <v>0.99099999999999999</v>
      </c>
      <c r="Q9" s="458">
        <v>8</v>
      </c>
    </row>
    <row r="10" spans="1:17" ht="16.5">
      <c r="C10" s="458" t="s">
        <v>233</v>
      </c>
      <c r="D10" s="458" t="s">
        <v>418</v>
      </c>
      <c r="E10" s="458">
        <v>3.4000000000000002E-2</v>
      </c>
      <c r="F10" s="458" t="s">
        <v>419</v>
      </c>
      <c r="G10" s="458">
        <v>0</v>
      </c>
      <c r="H10" s="458">
        <v>0</v>
      </c>
      <c r="I10" s="458" t="s">
        <v>420</v>
      </c>
      <c r="J10" s="459" t="s">
        <v>433</v>
      </c>
      <c r="K10" s="458">
        <v>6.9</v>
      </c>
      <c r="L10" s="458" t="s">
        <v>422</v>
      </c>
      <c r="M10" s="458">
        <f>K10/1000000</f>
        <v>6.9E-6</v>
      </c>
      <c r="N10" s="458" t="s">
        <v>423</v>
      </c>
      <c r="O10" s="487">
        <v>1</v>
      </c>
      <c r="P10" s="487">
        <v>1</v>
      </c>
      <c r="Q10" s="458">
        <v>9</v>
      </c>
    </row>
    <row r="11" spans="1:17">
      <c r="C11" s="458" t="s">
        <v>443</v>
      </c>
      <c r="D11" s="458" t="s">
        <v>8</v>
      </c>
      <c r="E11" s="458">
        <v>3.5999999999999999E-3</v>
      </c>
      <c r="F11" s="458" t="s">
        <v>434</v>
      </c>
      <c r="G11" s="458">
        <v>281</v>
      </c>
      <c r="H11" s="458">
        <v>5</v>
      </c>
      <c r="I11" s="458" t="s">
        <v>435</v>
      </c>
      <c r="J11" s="459" t="s">
        <v>444</v>
      </c>
      <c r="K11">
        <v>3.6799999999999999E-2</v>
      </c>
      <c r="L11" t="s">
        <v>437</v>
      </c>
      <c r="M11" s="458">
        <f>K11/1000</f>
        <v>3.68E-5</v>
      </c>
      <c r="N11" s="458" t="s">
        <v>438</v>
      </c>
      <c r="O11" s="487">
        <v>0.85</v>
      </c>
      <c r="P11" s="487">
        <v>0.65</v>
      </c>
      <c r="Q11" s="458">
        <v>10</v>
      </c>
    </row>
    <row r="12" spans="1:17">
      <c r="C12" s="458" t="s">
        <v>445</v>
      </c>
      <c r="D12" s="458" t="s">
        <v>447</v>
      </c>
      <c r="E12" s="458">
        <v>1</v>
      </c>
      <c r="F12" s="458" t="s">
        <v>921</v>
      </c>
      <c r="G12" s="458"/>
      <c r="H12" s="458">
        <v>400</v>
      </c>
      <c r="I12" s="458" t="s">
        <v>446</v>
      </c>
      <c r="J12" s="459"/>
      <c r="K12" s="458"/>
      <c r="L12" s="458"/>
      <c r="M12" s="458"/>
      <c r="N12" s="458"/>
      <c r="O12" s="458"/>
      <c r="P12" s="458"/>
      <c r="Q12" s="458">
        <v>11</v>
      </c>
    </row>
    <row r="14" spans="1:17" ht="18">
      <c r="A14" s="82" t="s">
        <v>795</v>
      </c>
      <c r="B14" s="82" t="s">
        <v>723</v>
      </c>
      <c r="C14" s="82" t="s">
        <v>210</v>
      </c>
      <c r="D14" s="82" t="s">
        <v>29</v>
      </c>
      <c r="E14" s="82" t="s">
        <v>905</v>
      </c>
      <c r="F14" s="82" t="s">
        <v>906</v>
      </c>
      <c r="G14" s="462" t="s">
        <v>907</v>
      </c>
      <c r="H14" s="82" t="s">
        <v>908</v>
      </c>
      <c r="I14" s="82" t="s">
        <v>909</v>
      </c>
      <c r="J14" s="82" t="s">
        <v>910</v>
      </c>
      <c r="K14" s="82" t="s">
        <v>911</v>
      </c>
      <c r="L14" s="82" t="s">
        <v>912</v>
      </c>
      <c r="M14" s="82" t="s">
        <v>913</v>
      </c>
      <c r="N14" s="82" t="s">
        <v>914</v>
      </c>
      <c r="O14" s="82" t="s">
        <v>915</v>
      </c>
      <c r="P14" s="82" t="s">
        <v>916</v>
      </c>
    </row>
    <row r="15" spans="1:17">
      <c r="A15" t="s">
        <v>918</v>
      </c>
      <c r="B15" t="e">
        <f>IF(je_zdroj,0,MATCH(C15,TNositele[Nositel],0))</f>
        <v>#N/A</v>
      </c>
      <c r="C15" t="str">
        <f>IF(je_zdroj,"",Zateplení!J14)</f>
        <v/>
      </c>
      <c r="D15" t="e" cm="1">
        <f t="array" ref="D15">IF(je_zdroj,"",INDEX(TNositele[Jednotka],$B15))</f>
        <v>#N/A</v>
      </c>
      <c r="E15" t="e" cm="1">
        <f t="array" ref="E15">IF(je_zdroj,0,INDEX(TNositele[LHV],$B15))</f>
        <v>#N/A</v>
      </c>
      <c r="F15" t="e" cm="1">
        <f t="array" ref="F15">IF(je_zdroj,"",INDEX(TNositele[Jednotka LHV],$B15))</f>
        <v>#N/A</v>
      </c>
      <c r="G15" t="e" cm="1">
        <f t="array" ref="G15">IF(je_zdroj,0,INDEX(TNositele[EF CO2 '[kg CO2/GJ']],$B15))</f>
        <v>#N/A</v>
      </c>
      <c r="H15" t="e" cm="1">
        <f t="array" ref="H15">IF(je_zdroj,0,INDEX(TNositele[Cena],$B15))</f>
        <v>#N/A</v>
      </c>
      <c r="I15" t="e" cm="1">
        <f t="array" ref="I15">IF(je_zdroj,"",INDEX(TNositele[Jednotka ceny],$B15))</f>
        <v>#N/A</v>
      </c>
      <c r="J15" t="e" cm="1">
        <f t="array" ref="J15">IF(je_zdroj,"",INDEX(TNositele[Rozmezí ceny],$B15))</f>
        <v>#N/A</v>
      </c>
      <c r="K15" t="e" cm="1">
        <f t="array" ref="K15">IF(je_zdroj,0,INDEX(TNositele[TZL_t],$B15))</f>
        <v>#N/A</v>
      </c>
      <c r="L15" t="e" cm="1">
        <f t="array" ref="L15">IF(je_zdroj,"",INDEX(TNositele[Jednotka TZL_t],$B15))</f>
        <v>#N/A</v>
      </c>
      <c r="M15" t="e" cm="1">
        <f t="array" ref="M15">IF(je_zdroj,0,INDEX(TNositele[TZL_kg],$B15))</f>
        <v>#N/A</v>
      </c>
      <c r="N15" t="e" cm="1">
        <f t="array" ref="N15">IF(je_zdroj,"",INDEX(TNositele[Jednotka TZL_kg],$B15))</f>
        <v>#N/A</v>
      </c>
      <c r="O15" t="e" cm="1">
        <f t="array" ref="O15">IF(je_zdroj,0,INDEX(TNositele[PM10 '[%']],$B15))</f>
        <v>#N/A</v>
      </c>
      <c r="P15" t="e" cm="1">
        <f t="array" ref="P15">IF(je_zdroj,0,INDEX(TNositele[PM2,5 '[%']],$B15))</f>
        <v>#N/A</v>
      </c>
    </row>
    <row r="16" spans="1:17">
      <c r="A16" t="s">
        <v>919</v>
      </c>
      <c r="B16">
        <f>IF(je_zdroj,MATCH(C16,TNositele[Nositel],0),0)</f>
        <v>0</v>
      </c>
      <c r="C16" t="str">
        <f>IF(je_zdroj,Zdroj!I6,"")</f>
        <v/>
      </c>
      <c r="D16" t="str" cm="1">
        <f t="array" ref="D16">IF(NOT(je_zdroj),"",INDEX(TNositele[Jednotka],$B16))</f>
        <v/>
      </c>
      <c r="E16" cm="1">
        <f t="array" ref="E16">IF(NOT(je_zdroj),0,INDEX(TNositele[LHV],$B16))</f>
        <v>0</v>
      </c>
      <c r="F16" t="str" cm="1">
        <f t="array" ref="F16">IF(NOT(je_zdroj),"",INDEX(TNositele[Jednotka LHV],$B16))</f>
        <v/>
      </c>
      <c r="G16" cm="1">
        <f t="array" ref="G16">IF(NOT(je_zdroj),0,INDEX(TNositele[EF CO2 '[kg CO2/GJ']],$B16))</f>
        <v>0</v>
      </c>
      <c r="H16" cm="1">
        <f t="array" ref="H16">IF(NOT(je_zdroj),0,INDEX(TNositele[Cena],$B16))</f>
        <v>0</v>
      </c>
      <c r="I16" t="str" cm="1">
        <f t="array" ref="I16">IF(NOT(je_zdroj),"",INDEX(TNositele[Jednotka ceny],$B16))</f>
        <v/>
      </c>
      <c r="J16" t="str" cm="1">
        <f t="array" ref="J16">IF(NOT(je_zdroj),"",INDEX(TNositele[Rozmezí ceny],$B16))</f>
        <v/>
      </c>
      <c r="K16" cm="1">
        <f t="array" ref="K16">IF(NOT(je_zdroj),0,INDEX(TNositele[TZL_t],$B16))</f>
        <v>0</v>
      </c>
      <c r="L16" t="str" cm="1">
        <f t="array" ref="L16">IF(NOT(je_zdroj),"",INDEX(TNositele[Jednotka TZL_t],$B16))</f>
        <v/>
      </c>
      <c r="M16" cm="1">
        <f t="array" ref="M16">IF(NOT(je_zdroj),0,INDEX(TNositele[TZL_kg],$B16))</f>
        <v>0</v>
      </c>
      <c r="N16" t="str" cm="1">
        <f t="array" ref="N16">IF(NOT(je_zdroj),"",INDEX(TNositele[Jednotka TZL_kg],$B16))</f>
        <v/>
      </c>
      <c r="O16" cm="1">
        <f t="array" ref="O16">IF(NOT(je_zdroj),0,INDEX(TNositele[PM10 '[%']],$B16))</f>
        <v>0</v>
      </c>
      <c r="P16" cm="1">
        <f t="array" ref="P16">IF(NOT(je_zdroj),0,INDEX(TNositele[PM2,5 '[%']],$B16))</f>
        <v>0</v>
      </c>
    </row>
    <row r="17" spans="1:16">
      <c r="A17" t="s">
        <v>920</v>
      </c>
      <c r="B17">
        <f>IF(je_zdroj,MATCH(C17,TNositele[Nositel],0),0)</f>
        <v>0</v>
      </c>
      <c r="C17" t="str">
        <f>IF(je_zdroj,ParametryZdroje!B24,"")</f>
        <v/>
      </c>
      <c r="D17" t="str" cm="1">
        <f t="array" ref="D17">IF(NOT(je_zdroj),"",INDEX(TNositele[Jednotka],$B17))</f>
        <v/>
      </c>
      <c r="E17" cm="1">
        <f t="array" ref="E17">IF(NOT(je_zdroj),0,INDEX(TNositele[LHV],$B17))</f>
        <v>0</v>
      </c>
      <c r="F17" t="str" cm="1">
        <f t="array" ref="F17">IF(NOT(je_zdroj),"",INDEX(TNositele[Jednotka LHV],$B17))</f>
        <v/>
      </c>
      <c r="G17" cm="1">
        <f t="array" ref="G17">IF(NOT(je_zdroj),0,INDEX(TNositele[EF CO2 '[kg CO2/GJ']],$B17))</f>
        <v>0</v>
      </c>
      <c r="H17" cm="1">
        <f t="array" ref="H17">IF(NOT(je_zdroj),0,INDEX(TNositele[Cena],$B17))</f>
        <v>0</v>
      </c>
      <c r="I17" t="str" cm="1">
        <f t="array" ref="I17">IF(NOT(je_zdroj),"",INDEX(TNositele[Jednotka ceny],$B17))</f>
        <v/>
      </c>
      <c r="J17" t="str" cm="1">
        <f t="array" ref="J17">IF(NOT(je_zdroj),"",INDEX(TNositele[Rozmezí ceny],$B17))</f>
        <v/>
      </c>
      <c r="K17" cm="1">
        <f t="array" ref="K17">IF(NOT(je_zdroj),0,INDEX(TNositele[TZL_t],$B17))</f>
        <v>0</v>
      </c>
      <c r="L17" t="str" cm="1">
        <f t="array" ref="L17">IF(NOT(je_zdroj),"",INDEX(TNositele[Jednotka TZL_t],$B17))</f>
        <v/>
      </c>
      <c r="M17" cm="1">
        <f t="array" ref="M17">IF(NOT(je_zdroj),0,INDEX(TNositele[TZL_kg],$B17))</f>
        <v>0</v>
      </c>
      <c r="N17" t="str" cm="1">
        <f t="array" ref="N17">IF(NOT(je_zdroj),"",INDEX(TNositele[Jednotka TZL_kg],$B17))</f>
        <v/>
      </c>
      <c r="O17" cm="1">
        <f t="array" ref="O17">IF(NOT(je_zdroj),0,INDEX(TNositele[PM10 '[%']],$B17))</f>
        <v>0</v>
      </c>
      <c r="P17" cm="1">
        <f t="array" ref="P17">IF(NOT(je_zdroj),0,INDEX(TNositele[PM2,5 '[%']],$B17))</f>
        <v>0</v>
      </c>
    </row>
    <row r="18" spans="1:16">
      <c r="A18" t="s">
        <v>922</v>
      </c>
      <c r="B18" t="e">
        <f>IF(je_zdroj,0,MATCH(C15,TNositele[Nositel],0))</f>
        <v>#N/A</v>
      </c>
      <c r="C18" t="str">
        <f>IF(je_zdroj,"",Zateplení!J14)</f>
        <v/>
      </c>
      <c r="D18" t="str">
        <f>D12</f>
        <v>GJ</v>
      </c>
      <c r="E18">
        <f>E12</f>
        <v>1</v>
      </c>
      <c r="F18" t="str">
        <f>F12</f>
        <v>GJ/GJ</v>
      </c>
      <c r="G18" t="e" cm="1">
        <f t="array" ref="G18">IF(je_zdroj,0,INDEX(TNositele[EF CO2 '[kg CO2/GJ']],$B18))</f>
        <v>#N/A</v>
      </c>
      <c r="H18" t="e" cm="1">
        <f t="array" ref="H18">IF(je_zdroj,0,INDEX(TNositele[Cena],$B18))</f>
        <v>#N/A</v>
      </c>
      <c r="I18" t="e" cm="1">
        <f t="array" ref="I18">IF(je_zdroj,"",INDEX(TNositele[Jednotka ceny],$B18))</f>
        <v>#N/A</v>
      </c>
      <c r="J18" t="e" cm="1">
        <f t="array" ref="J18">IF(je_zdroj,"",INDEX(TNositele[Rozmezí ceny],$B18))</f>
        <v>#N/A</v>
      </c>
      <c r="K18" t="e" cm="1">
        <f t="array" ref="K18">IF(je_zdroj,0,INDEX(TNositele[TZL_t],$B18))</f>
        <v>#N/A</v>
      </c>
      <c r="L18" t="e" cm="1">
        <f t="array" ref="L18">IF(je_zdroj,"",INDEX(TNositele[Jednotka TZL_t],$B18))</f>
        <v>#N/A</v>
      </c>
      <c r="M18" t="e" cm="1">
        <f t="array" ref="M18">IF(je_zdroj,0,INDEX(TNositele[TZL_kg],$B18))</f>
        <v>#N/A</v>
      </c>
      <c r="N18" t="e" cm="1">
        <f t="array" ref="N18">IF(je_zdroj,"",INDEX(TNositele[Jednotka TZL_kg],$B18))</f>
        <v>#N/A</v>
      </c>
      <c r="O18" t="e" cm="1">
        <f t="array" ref="O18">IF(je_zdroj,0,INDEX(TNositele[PM10 '[%']],$B18))</f>
        <v>#N/A</v>
      </c>
      <c r="P18" t="e" cm="1">
        <f t="array" ref="P18">IF(je_zdroj,0,INDEX(TNositele[PM2,5 '[%']],$B18))</f>
        <v>#N/A</v>
      </c>
    </row>
    <row r="19" spans="1:16">
      <c r="A19" t="s">
        <v>923</v>
      </c>
      <c r="B19">
        <f>IF(je_zdroj,MATCH(C16,TNositele[Nositel],0),0)</f>
        <v>0</v>
      </c>
      <c r="C19" t="str">
        <f>IF(je_zdroj,Zdroj!I6,"")</f>
        <v/>
      </c>
      <c r="D19" t="str">
        <f>D12</f>
        <v>GJ</v>
      </c>
      <c r="E19">
        <f>E12</f>
        <v>1</v>
      </c>
      <c r="F19" t="str">
        <f>F12</f>
        <v>GJ/GJ</v>
      </c>
      <c r="G19" cm="1">
        <f t="array" ref="G19">IF(NOT(je_zdroj),0,INDEX(TNositele[EF CO2 '[kg CO2/GJ']],$B19))</f>
        <v>0</v>
      </c>
      <c r="H19" cm="1">
        <f t="array" ref="H19">IF(NOT(je_zdroj),0,INDEX(TNositele[Cena],$B19))</f>
        <v>0</v>
      </c>
      <c r="I19" t="str" cm="1">
        <f t="array" ref="I19">IF(NOT(je_zdroj),"",INDEX(TNositele[Jednotka ceny],$B19))</f>
        <v/>
      </c>
      <c r="J19" t="str" cm="1">
        <f t="array" ref="J19">IF(NOT(je_zdroj),"",INDEX(TNositele[Rozmezí ceny],$B19))</f>
        <v/>
      </c>
      <c r="K19" cm="1">
        <f t="array" ref="K19">IF(NOT(je_zdroj),0,INDEX(TNositele[TZL_t],$B19))</f>
        <v>0</v>
      </c>
      <c r="L19" t="str" cm="1">
        <f t="array" ref="L19">IF(NOT(je_zdroj),"",INDEX(TNositele[Jednotka TZL_t],$B19))</f>
        <v/>
      </c>
      <c r="M19" cm="1">
        <f t="array" ref="M19">IF(NOT(je_zdroj),0,INDEX(TNositele[TZL_kg],$B19))</f>
        <v>0</v>
      </c>
      <c r="N19" t="str" cm="1">
        <f t="array" ref="N19">IF(NOT(je_zdroj),"",INDEX(TNositele[Jednotka TZL_kg],$B19))</f>
        <v/>
      </c>
      <c r="O19" cm="1">
        <f t="array" ref="O19">IF(NOT(je_zdroj),0,INDEX(TNositele[PM10 '[%']],$B19))</f>
        <v>0</v>
      </c>
      <c r="P19" cm="1">
        <f t="array" ref="P19">IF(NOT(je_zdroj),0,INDEX(TNositele[PM2,5 '[%']],$B19))</f>
        <v>0</v>
      </c>
    </row>
    <row r="21" spans="1:16">
      <c r="A21" t="s">
        <v>924</v>
      </c>
      <c r="C21" t="str">
        <f>IF(ZdrojIdxBudova=6,Nositele!C18,Nositele!C15)</f>
        <v/>
      </c>
      <c r="D21" t="e">
        <f>IF(ZdrojIdxBudova=6,Nositele!D18,Nositele!D15)</f>
        <v>#N/A</v>
      </c>
      <c r="E21" t="e">
        <f>IF(ZdrojIdxBudova=6,Nositele!E18,Nositele!E15)</f>
        <v>#N/A</v>
      </c>
      <c r="F21" t="e">
        <f>IF(ZdrojIdxBudova=6,Nositele!F18,Nositele!F15)</f>
        <v>#N/A</v>
      </c>
      <c r="G21" t="e">
        <f>IF(ZdrojIdxBudova=6,Nositele!G18,Nositele!G15)</f>
        <v>#N/A</v>
      </c>
      <c r="H21" t="e">
        <f>IF(ZdrojIdxBudova=6,Nositele!H18,Nositele!H15)</f>
        <v>#N/A</v>
      </c>
      <c r="I21" t="e">
        <f>IF(ZdrojIdxBudova=6,Nositele!I18,Nositele!I15)</f>
        <v>#N/A</v>
      </c>
      <c r="J21" t="e">
        <f>IF(ZdrojIdxBudova=6,Nositele!J18,Nositele!J15)</f>
        <v>#N/A</v>
      </c>
      <c r="K21" t="e">
        <f>IF(ZdrojIdxBudova=6,Nositele!K18,Nositele!K15)</f>
        <v>#N/A</v>
      </c>
      <c r="L21" t="e">
        <f>IF(ZdrojIdxBudova=6,Nositele!L18,Nositele!L15)</f>
        <v>#N/A</v>
      </c>
      <c r="M21" t="e">
        <f>IF(ZdrojIdxBudova=6,Nositele!M18,Nositele!M15)</f>
        <v>#N/A</v>
      </c>
      <c r="N21" t="e">
        <f>IF(ZdrojIdxBudova=6,Nositele!N18,Nositele!N15)</f>
        <v>#N/A</v>
      </c>
      <c r="O21" t="e">
        <f>IF(ZdrojIdxBudova=6,Nositele!O18,Nositele!O15)</f>
        <v>#N/A</v>
      </c>
      <c r="P21" t="e">
        <f>IF(ZdrojIdxBudova=6,Nositele!P18,Nositele!P15)</f>
        <v>#N/A</v>
      </c>
    </row>
    <row r="22" spans="1:16">
      <c r="A22" t="s">
        <v>925</v>
      </c>
      <c r="C22" t="str">
        <f>IF(ZdrojIdxOld=6,Nositele!C19,Nositele!C16)</f>
        <v/>
      </c>
      <c r="D22" t="str">
        <f>IF(ZdrojIdxOld=6,Nositele!D19,Nositele!D16)</f>
        <v/>
      </c>
      <c r="E22">
        <f>IF(ZdrojIdxOld=6,Nositele!E19,Nositele!E16)</f>
        <v>0</v>
      </c>
      <c r="F22" t="str">
        <f>IF(ZdrojIdxOld=6,Nositele!F19,Nositele!F16)</f>
        <v/>
      </c>
      <c r="G22">
        <f>IF(ZdrojIdxOld=6,Nositele!G19,Nositele!G16)</f>
        <v>0</v>
      </c>
      <c r="H22">
        <f>IF(ZdrojIdxOld=6,Nositele!H19,Nositele!H16)</f>
        <v>0</v>
      </c>
      <c r="I22" t="str">
        <f>IF(ZdrojIdxOld=6,Nositele!I19,Nositele!I16)</f>
        <v/>
      </c>
      <c r="J22" t="str">
        <f>IF(ZdrojIdxOld=6,Nositele!J19,Nositele!J16)</f>
        <v/>
      </c>
      <c r="K22">
        <f>IF(ZdrojIdxOld=6,Nositele!K19,Nositele!K16)</f>
        <v>0</v>
      </c>
      <c r="L22" t="str">
        <f>IF(ZdrojIdxOld=6,Nositele!L19,Nositele!L16)</f>
        <v/>
      </c>
      <c r="M22">
        <f>IF(ZdrojIdxOld=6,Nositele!M19,Nositele!M16)</f>
        <v>0</v>
      </c>
      <c r="N22" t="str">
        <f>IF(ZdrojIdxOld=6,Nositele!N19,Nositele!N16)</f>
        <v/>
      </c>
      <c r="O22">
        <f>IF(ZdrojIdxOld=6,Nositele!O19,Nositele!O16)</f>
        <v>0</v>
      </c>
      <c r="P22">
        <f>IF(ZdrojIdxOld=6,Nositele!P19,Nositele!P16)</f>
        <v>0</v>
      </c>
    </row>
    <row r="23" spans="1:16">
      <c r="A23" t="s">
        <v>926</v>
      </c>
      <c r="C23" t="str">
        <f>C17</f>
        <v/>
      </c>
      <c r="D23" t="str">
        <f t="shared" ref="D23:P23" si="0">D17</f>
        <v/>
      </c>
      <c r="E23">
        <f t="shared" si="0"/>
        <v>0</v>
      </c>
      <c r="F23" t="str">
        <f t="shared" si="0"/>
        <v/>
      </c>
      <c r="G23">
        <f t="shared" si="0"/>
        <v>0</v>
      </c>
      <c r="H23">
        <f t="shared" si="0"/>
        <v>0</v>
      </c>
      <c r="I23" t="str">
        <f t="shared" si="0"/>
        <v/>
      </c>
      <c r="J23" t="str">
        <f t="shared" si="0"/>
        <v/>
      </c>
      <c r="K23">
        <f t="shared" si="0"/>
        <v>0</v>
      </c>
      <c r="L23" t="str">
        <f t="shared" si="0"/>
        <v/>
      </c>
      <c r="M23">
        <f t="shared" si="0"/>
        <v>0</v>
      </c>
      <c r="N23" t="str">
        <f t="shared" si="0"/>
        <v/>
      </c>
      <c r="O23">
        <f t="shared" si="0"/>
        <v>0</v>
      </c>
      <c r="P23">
        <f t="shared" si="0"/>
        <v>0</v>
      </c>
    </row>
    <row r="25" spans="1:16">
      <c r="A25" t="s">
        <v>925</v>
      </c>
      <c r="C25" t="str">
        <f t="shared" ref="C25:P25" si="1">IF(je_zdroj,C22,C21)</f>
        <v/>
      </c>
      <c r="D25" t="e">
        <f t="shared" si="1"/>
        <v>#N/A</v>
      </c>
      <c r="E25" t="e">
        <f t="shared" si="1"/>
        <v>#N/A</v>
      </c>
      <c r="F25" t="e">
        <f t="shared" si="1"/>
        <v>#N/A</v>
      </c>
      <c r="G25" t="e">
        <f t="shared" si="1"/>
        <v>#N/A</v>
      </c>
      <c r="H25" t="e">
        <f t="shared" si="1"/>
        <v>#N/A</v>
      </c>
      <c r="I25" t="e">
        <f t="shared" si="1"/>
        <v>#N/A</v>
      </c>
      <c r="J25" t="e">
        <f t="shared" si="1"/>
        <v>#N/A</v>
      </c>
      <c r="K25" t="e">
        <f t="shared" si="1"/>
        <v>#N/A</v>
      </c>
      <c r="L25" t="e">
        <f t="shared" si="1"/>
        <v>#N/A</v>
      </c>
      <c r="M25" t="e">
        <f t="shared" si="1"/>
        <v>#N/A</v>
      </c>
      <c r="N25" t="e">
        <f t="shared" si="1"/>
        <v>#N/A</v>
      </c>
      <c r="O25" t="e">
        <f t="shared" si="1"/>
        <v>#N/A</v>
      </c>
      <c r="P25" t="e">
        <f t="shared" si="1"/>
        <v>#N/A</v>
      </c>
    </row>
    <row r="26" spans="1:16">
      <c r="A26" t="s">
        <v>926</v>
      </c>
      <c r="C26" t="str">
        <f t="shared" ref="C26:P26" si="2">IF(je_zdroj,C23,C21)</f>
        <v/>
      </c>
      <c r="D26" t="e">
        <f t="shared" si="2"/>
        <v>#N/A</v>
      </c>
      <c r="E26" t="e">
        <f t="shared" si="2"/>
        <v>#N/A</v>
      </c>
      <c r="F26" t="e">
        <f t="shared" si="2"/>
        <v>#N/A</v>
      </c>
      <c r="G26" t="e">
        <f t="shared" si="2"/>
        <v>#N/A</v>
      </c>
      <c r="H26" t="e">
        <f t="shared" si="2"/>
        <v>#N/A</v>
      </c>
      <c r="I26" t="e">
        <f t="shared" si="2"/>
        <v>#N/A</v>
      </c>
      <c r="J26" t="e">
        <f t="shared" si="2"/>
        <v>#N/A</v>
      </c>
      <c r="K26" t="e">
        <f t="shared" si="2"/>
        <v>#N/A</v>
      </c>
      <c r="L26" t="e">
        <f t="shared" si="2"/>
        <v>#N/A</v>
      </c>
      <c r="M26" t="e">
        <f t="shared" si="2"/>
        <v>#N/A</v>
      </c>
      <c r="N26" t="e">
        <f t="shared" si="2"/>
        <v>#N/A</v>
      </c>
      <c r="O26" t="e">
        <f t="shared" si="2"/>
        <v>#N/A</v>
      </c>
      <c r="P26" t="e">
        <f t="shared" si="2"/>
        <v>#N/A</v>
      </c>
    </row>
    <row r="29" spans="1:16">
      <c r="C29" s="463" t="s">
        <v>930</v>
      </c>
      <c r="D29" s="463" t="s">
        <v>390</v>
      </c>
      <c r="E29" s="463" t="s">
        <v>391</v>
      </c>
      <c r="F29" s="463" t="s">
        <v>931</v>
      </c>
      <c r="G29" s="463" t="s">
        <v>932</v>
      </c>
      <c r="H29" s="463" t="s">
        <v>392</v>
      </c>
      <c r="I29" s="463" t="s">
        <v>393</v>
      </c>
    </row>
    <row r="30" spans="1:16">
      <c r="C30" s="458" t="s">
        <v>394</v>
      </c>
      <c r="D30">
        <v>44.3</v>
      </c>
      <c r="E30" t="s">
        <v>395</v>
      </c>
      <c r="F30">
        <f>D30/1000</f>
        <v>4.4299999999999999E-2</v>
      </c>
      <c r="G30" t="s">
        <v>396</v>
      </c>
      <c r="H30" s="387">
        <v>0.99299999999999999</v>
      </c>
      <c r="I30" s="387">
        <v>0.99199999999999999</v>
      </c>
    </row>
    <row r="31" spans="1:16">
      <c r="C31" s="458" t="s">
        <v>397</v>
      </c>
      <c r="D31">
        <v>44.3</v>
      </c>
      <c r="E31" t="s">
        <v>395</v>
      </c>
      <c r="F31">
        <f t="shared" ref="F31:F33" si="3">D31/1000</f>
        <v>4.4299999999999999E-2</v>
      </c>
      <c r="G31" t="s">
        <v>396</v>
      </c>
      <c r="H31" s="387">
        <v>0.99299999999999999</v>
      </c>
      <c r="I31" s="387">
        <v>0.99199999999999999</v>
      </c>
    </row>
    <row r="32" spans="1:16">
      <c r="C32" s="458" t="s">
        <v>399</v>
      </c>
      <c r="D32">
        <v>17.2</v>
      </c>
      <c r="E32" t="s">
        <v>395</v>
      </c>
      <c r="F32">
        <f t="shared" si="3"/>
        <v>1.72E-2</v>
      </c>
      <c r="G32" t="s">
        <v>396</v>
      </c>
      <c r="H32" s="387">
        <v>0.99900000000000011</v>
      </c>
      <c r="I32" s="387">
        <v>0.998</v>
      </c>
    </row>
    <row r="33" spans="3:9">
      <c r="C33" s="458" t="s">
        <v>400</v>
      </c>
      <c r="D33">
        <v>2.2400000000000002</v>
      </c>
      <c r="E33" t="s">
        <v>395</v>
      </c>
      <c r="F33">
        <f t="shared" si="3"/>
        <v>2.2400000000000002E-3</v>
      </c>
      <c r="G33" t="s">
        <v>396</v>
      </c>
      <c r="H33" s="387">
        <v>0.98099999999999998</v>
      </c>
      <c r="I33" s="387">
        <v>0.94099999999999995</v>
      </c>
    </row>
    <row r="34" spans="3:9">
      <c r="C34" s="458" t="s">
        <v>401</v>
      </c>
      <c r="D34">
        <v>67.7</v>
      </c>
      <c r="E34" t="s">
        <v>395</v>
      </c>
      <c r="F34">
        <f>D34/1000</f>
        <v>6.7699999999999996E-2</v>
      </c>
      <c r="G34" t="s">
        <v>396</v>
      </c>
      <c r="H34" s="387">
        <v>0.997</v>
      </c>
      <c r="I34" s="387">
        <v>0.99</v>
      </c>
    </row>
    <row r="35" spans="3:9">
      <c r="C35" s="458" t="s">
        <v>402</v>
      </c>
      <c r="D35">
        <v>67.7</v>
      </c>
      <c r="E35" t="s">
        <v>395</v>
      </c>
      <c r="F35">
        <f t="shared" ref="F35:F37" si="4">D35/1000</f>
        <v>6.7699999999999996E-2</v>
      </c>
      <c r="G35" t="s">
        <v>396</v>
      </c>
      <c r="H35" s="387">
        <v>0.997</v>
      </c>
      <c r="I35" s="387">
        <v>0.99</v>
      </c>
    </row>
    <row r="36" spans="3:9">
      <c r="C36" s="458" t="s">
        <v>403</v>
      </c>
      <c r="D36">
        <v>6.94</v>
      </c>
      <c r="E36" t="s">
        <v>395</v>
      </c>
      <c r="F36">
        <f t="shared" si="4"/>
        <v>6.94E-3</v>
      </c>
      <c r="G36" t="s">
        <v>396</v>
      </c>
      <c r="H36" s="387">
        <v>0.99400000000000011</v>
      </c>
      <c r="I36" s="387">
        <v>0.96900000000000008</v>
      </c>
    </row>
    <row r="37" spans="3:9">
      <c r="C37" s="458" t="s">
        <v>404</v>
      </c>
      <c r="D37">
        <v>2.25</v>
      </c>
      <c r="E37" t="s">
        <v>395</v>
      </c>
      <c r="F37">
        <f t="shared" si="4"/>
        <v>2.2499999999999998E-3</v>
      </c>
      <c r="G37" t="s">
        <v>396</v>
      </c>
      <c r="H37" s="387">
        <v>0.998</v>
      </c>
      <c r="I37" s="387">
        <v>0.98099999999999998</v>
      </c>
    </row>
    <row r="38" spans="3:9">
      <c r="C38" s="458" t="s">
        <v>405</v>
      </c>
      <c r="D38">
        <v>7.22</v>
      </c>
      <c r="E38" t="s">
        <v>395</v>
      </c>
      <c r="F38">
        <f>D38/1000</f>
        <v>7.2199999999999999E-3</v>
      </c>
      <c r="G38" t="s">
        <v>396</v>
      </c>
      <c r="H38" s="387">
        <v>0.998</v>
      </c>
      <c r="I38" s="387">
        <v>0.995</v>
      </c>
    </row>
    <row r="39" spans="3:9">
      <c r="C39" s="458" t="s">
        <v>406</v>
      </c>
      <c r="D39">
        <v>7.22</v>
      </c>
      <c r="E39" t="s">
        <v>395</v>
      </c>
      <c r="F39">
        <f t="shared" ref="F39:F41" si="5">D39/1000</f>
        <v>7.2199999999999999E-3</v>
      </c>
      <c r="G39" t="s">
        <v>396</v>
      </c>
      <c r="H39" s="387">
        <v>0.998</v>
      </c>
      <c r="I39" s="387">
        <v>0.995</v>
      </c>
    </row>
    <row r="40" spans="3:9">
      <c r="C40" s="458" t="s">
        <v>407</v>
      </c>
      <c r="D40">
        <v>5.78</v>
      </c>
      <c r="E40" t="s">
        <v>395</v>
      </c>
      <c r="F40">
        <f t="shared" si="5"/>
        <v>5.7800000000000004E-3</v>
      </c>
      <c r="G40" t="s">
        <v>396</v>
      </c>
      <c r="H40" s="387">
        <v>0.998</v>
      </c>
      <c r="I40" s="387">
        <v>0.99299999999999999</v>
      </c>
    </row>
    <row r="41" spans="3:9">
      <c r="C41" s="458" t="s">
        <v>408</v>
      </c>
      <c r="D41">
        <v>2.12</v>
      </c>
      <c r="E41" t="s">
        <v>395</v>
      </c>
      <c r="F41">
        <f t="shared" si="5"/>
        <v>2.1199999999999999E-3</v>
      </c>
      <c r="G41" t="s">
        <v>396</v>
      </c>
      <c r="H41" s="387">
        <v>0.998</v>
      </c>
      <c r="I41" s="387">
        <v>0.99099999999999999</v>
      </c>
    </row>
    <row r="42" spans="3:9">
      <c r="C42" s="458" t="s">
        <v>409</v>
      </c>
      <c r="D42">
        <v>7.22</v>
      </c>
      <c r="E42" t="s">
        <v>395</v>
      </c>
      <c r="F42">
        <f>D42/1000</f>
        <v>7.2199999999999999E-3</v>
      </c>
      <c r="G42" t="s">
        <v>396</v>
      </c>
      <c r="H42" s="387">
        <v>0.998</v>
      </c>
      <c r="I42" s="387">
        <v>0.98799999999999999</v>
      </c>
    </row>
    <row r="43" spans="3:9">
      <c r="C43" s="458" t="s">
        <v>410</v>
      </c>
      <c r="D43">
        <v>7.22</v>
      </c>
      <c r="E43" t="s">
        <v>395</v>
      </c>
      <c r="F43">
        <f t="shared" ref="F43:F45" si="6">D43/1000</f>
        <v>7.2199999999999999E-3</v>
      </c>
      <c r="G43" t="s">
        <v>396</v>
      </c>
      <c r="H43" s="387">
        <v>0.998</v>
      </c>
      <c r="I43" s="387">
        <v>0.98799999999999999</v>
      </c>
    </row>
    <row r="44" spans="3:9">
      <c r="C44" s="458" t="s">
        <v>411</v>
      </c>
      <c r="D44">
        <v>5.78</v>
      </c>
      <c r="E44" t="s">
        <v>395</v>
      </c>
      <c r="F44">
        <f t="shared" si="6"/>
        <v>5.7800000000000004E-3</v>
      </c>
      <c r="G44" t="s">
        <v>396</v>
      </c>
      <c r="H44" s="387">
        <v>0.998</v>
      </c>
      <c r="I44" s="387">
        <v>0.98799999999999999</v>
      </c>
    </row>
    <row r="45" spans="3:9">
      <c r="C45" s="458" t="s">
        <v>412</v>
      </c>
      <c r="D45">
        <v>2.12</v>
      </c>
      <c r="E45" t="s">
        <v>395</v>
      </c>
      <c r="F45">
        <f t="shared" si="6"/>
        <v>2.1199999999999999E-3</v>
      </c>
      <c r="G45" t="s">
        <v>396</v>
      </c>
      <c r="H45" s="387">
        <v>0.998</v>
      </c>
      <c r="I45" s="387">
        <v>0.98799999999999999</v>
      </c>
    </row>
  </sheetData>
  <sheetProtection algorithmName="SHA-512" hashValue="uJ2YbZzRUR5KCQgm19wiE6xxBw0mZY8v6RyPkrxIlhL3BA6tddLhoat2LLHA6j4kyqoX+RMaZ/yTXzHvKRWrFA==" saltValue="IEM5aqYS1K8J4UbWHoTXFw==" spinCount="100000" sheet="1" objects="1" scenarios="1"/>
  <pageMargins left="0.7" right="0.7" top="0.78740157499999996" bottom="0.78740157499999996" header="0.3" footer="0.3"/>
  <tableParts count="2">
    <tablePart r:id="rId1"/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50691F-56BD-49B9-9B72-56C71D9EA3D4}">
  <sheetPr codeName="List9"/>
  <dimension ref="A1:CE106"/>
  <sheetViews>
    <sheetView workbookViewId="0">
      <pane ySplit="1" topLeftCell="A2" activePane="bottomLeft" state="frozen"/>
      <selection pane="bottomLeft" activeCell="A2" sqref="A2"/>
    </sheetView>
  </sheetViews>
  <sheetFormatPr defaultColWidth="0" defaultRowHeight="15" zeroHeight="1"/>
  <cols>
    <col min="1" max="1" width="3.28515625" style="181" customWidth="1"/>
    <col min="2" max="2" width="7" style="216" customWidth="1"/>
    <col min="3" max="3" width="46.42578125" style="255" customWidth="1"/>
    <col min="4" max="4" width="27.42578125" style="256" customWidth="1"/>
    <col min="5" max="5" width="20.28515625" style="256" customWidth="1"/>
    <col min="6" max="6" width="76.28515625" style="204" customWidth="1"/>
    <col min="7" max="7" width="63.7109375" style="186" customWidth="1"/>
    <col min="8" max="8" width="11.85546875" style="186" customWidth="1"/>
    <col min="9" max="9" width="11.7109375" style="199" hidden="1" customWidth="1"/>
    <col min="10" max="10" width="18.7109375" style="35" hidden="1" customWidth="1"/>
    <col min="11" max="11" width="11" style="199" hidden="1" customWidth="1"/>
    <col min="12" max="12" width="10.85546875" style="199" hidden="1" customWidth="1"/>
    <col min="13" max="13" width="12.140625" style="199" hidden="1" customWidth="1"/>
    <col min="14" max="14" width="26.28515625" style="199" hidden="1" customWidth="1"/>
    <col min="15" max="15" width="10.42578125" style="199" hidden="1" customWidth="1"/>
    <col min="16" max="16" width="11.7109375" style="199" hidden="1" customWidth="1"/>
    <col min="17" max="17" width="8.5703125" style="322" hidden="1" customWidth="1"/>
    <col min="18" max="20" width="9.140625" style="22" hidden="1" customWidth="1"/>
    <col min="21" max="83" width="9.140625" style="181" hidden="1" customWidth="1"/>
    <col min="84" max="16384" width="9.140625" style="204" hidden="1"/>
  </cols>
  <sheetData>
    <row r="1" spans="2:83" s="181" customFormat="1" ht="49.5" customHeight="1">
      <c r="B1" s="182" t="s">
        <v>264</v>
      </c>
      <c r="C1" s="12"/>
      <c r="D1" s="183"/>
      <c r="E1" s="184"/>
      <c r="F1" s="184"/>
      <c r="G1" s="633"/>
      <c r="H1" s="404"/>
      <c r="I1" s="199"/>
      <c r="J1" s="185"/>
      <c r="K1" s="185"/>
      <c r="L1" s="185"/>
      <c r="M1" s="198"/>
      <c r="N1" s="198"/>
      <c r="O1" s="199"/>
      <c r="P1" s="199"/>
      <c r="Q1" s="322"/>
      <c r="R1" s="22"/>
      <c r="S1" s="22"/>
      <c r="T1" s="22"/>
    </row>
    <row r="2" spans="2:83" s="181" customFormat="1" ht="20.100000000000001" customHeight="1">
      <c r="B2" s="188"/>
      <c r="C2" s="189"/>
      <c r="D2" s="12"/>
      <c r="E2" s="12"/>
      <c r="F2" s="190"/>
      <c r="G2" s="633"/>
      <c r="H2" s="404"/>
      <c r="I2" s="199"/>
      <c r="J2" s="185"/>
      <c r="K2" s="185"/>
      <c r="L2" s="185"/>
      <c r="M2" s="198"/>
      <c r="N2" s="198"/>
      <c r="O2" s="199"/>
      <c r="P2" s="199"/>
      <c r="Q2" s="322"/>
      <c r="R2" s="22"/>
      <c r="S2" s="22"/>
      <c r="T2" s="22"/>
    </row>
    <row r="3" spans="2:83" s="181" customFormat="1" ht="30" customHeight="1" thickBot="1">
      <c r="B3" s="191" t="s">
        <v>265</v>
      </c>
      <c r="C3" s="192" t="s">
        <v>266</v>
      </c>
      <c r="D3" s="54"/>
      <c r="E3" s="54"/>
      <c r="F3" s="193"/>
      <c r="G3" s="194"/>
      <c r="H3" s="194"/>
      <c r="I3" s="405" t="s">
        <v>17</v>
      </c>
      <c r="J3" s="323" t="s">
        <v>18</v>
      </c>
      <c r="K3" s="323" t="s">
        <v>139</v>
      </c>
      <c r="L3" s="323" t="s">
        <v>229</v>
      </c>
      <c r="M3" s="323" t="s">
        <v>230</v>
      </c>
      <c r="N3" s="323" t="s">
        <v>251</v>
      </c>
      <c r="O3" s="323" t="s">
        <v>252</v>
      </c>
      <c r="P3" s="323" t="s">
        <v>19</v>
      </c>
      <c r="Q3" s="323" t="s">
        <v>20</v>
      </c>
      <c r="R3" s="22"/>
      <c r="S3" s="22"/>
      <c r="T3" s="22"/>
    </row>
    <row r="4" spans="2:83" s="181" customFormat="1" ht="36" customHeight="1" thickBot="1">
      <c r="B4" s="195" t="s">
        <v>3</v>
      </c>
      <c r="C4" s="196" t="s">
        <v>267</v>
      </c>
      <c r="D4" s="628" t="s">
        <v>143</v>
      </c>
      <c r="E4" s="629"/>
      <c r="F4" s="197"/>
      <c r="G4" s="406" t="str" cm="1">
        <f t="array" ref="G4">IFERROR(INDEX(Q4:S4,1,P4),"")</f>
        <v>Vyberte způsob zadání.</v>
      </c>
      <c r="H4" s="198"/>
      <c r="I4" s="199" t="b">
        <v>1</v>
      </c>
      <c r="J4" s="96" t="str">
        <f>IF(AND(I4,L4),F4,"")</f>
        <v/>
      </c>
      <c r="K4" s="198">
        <f>IF(L4,IF(ZpůsobVýpočtu=2,ROW(F5),ROW(F6)),ROW())</f>
        <v>4</v>
      </c>
      <c r="L4" s="198" t="b">
        <f>NOT(ISBLANK(F4))</f>
        <v>0</v>
      </c>
      <c r="M4" s="198" t="b">
        <f>L4</f>
        <v>0</v>
      </c>
      <c r="N4" s="551"/>
      <c r="O4" s="551"/>
      <c r="P4" s="96" cm="1">
        <f t="array" ref="P4">myidx(L4,ISBLANK(F4))</f>
        <v>2</v>
      </c>
      <c r="Q4" s="96" t="s">
        <v>21</v>
      </c>
      <c r="R4" s="96" t="s">
        <v>649</v>
      </c>
      <c r="S4" s="96"/>
      <c r="T4" s="22"/>
    </row>
    <row r="5" spans="2:83" s="181" customFormat="1" ht="50.1" customHeight="1" thickBot="1">
      <c r="B5" s="195" t="s">
        <v>6</v>
      </c>
      <c r="C5" s="196" t="s">
        <v>1167</v>
      </c>
      <c r="D5" s="626" t="s">
        <v>89</v>
      </c>
      <c r="E5" s="627"/>
      <c r="F5" s="197"/>
      <c r="G5" s="407" t="str" cm="1">
        <f t="array" ref="G5">IFERROR(INDEX(Q5:S5,1,P5),"")</f>
        <v>Vyberte ano nebo ne.</v>
      </c>
      <c r="H5" s="198"/>
      <c r="I5" s="199" t="b">
        <f>AND(I4,M4,ZpůsobVýpočtu=2)</f>
        <v>0</v>
      </c>
      <c r="J5" s="96" t="str">
        <f>IF(AND(I5,L5),F5,"")</f>
        <v/>
      </c>
      <c r="K5" s="198">
        <f>IF(L5,ROW(F6),ROW())</f>
        <v>5</v>
      </c>
      <c r="L5" s="145" t="b">
        <f>OR(F5=ano,F5=ne)</f>
        <v>0</v>
      </c>
      <c r="M5" s="198" t="b">
        <f>AND(M3,L5)</f>
        <v>0</v>
      </c>
      <c r="N5" s="22"/>
      <c r="O5" s="22"/>
      <c r="P5" s="145" cm="1">
        <f t="array" ref="P5">myidx(L5,ISBLANK(F5))</f>
        <v>2</v>
      </c>
      <c r="Q5" s="96" t="s">
        <v>21</v>
      </c>
      <c r="R5" s="96" t="s">
        <v>217</v>
      </c>
      <c r="S5" s="96"/>
      <c r="T5" s="22"/>
    </row>
    <row r="6" spans="2:83" s="181" customFormat="1" ht="35.450000000000003" customHeight="1" thickBot="1">
      <c r="B6" s="195" t="s">
        <v>269</v>
      </c>
      <c r="C6" s="196" t="s">
        <v>268</v>
      </c>
      <c r="D6" s="628" t="s">
        <v>143</v>
      </c>
      <c r="E6" s="629"/>
      <c r="F6" s="197"/>
      <c r="G6" s="406" t="str" cm="1">
        <f t="array" ref="G6">IFERROR(INDEX(Q6:S6,1,P6),"")</f>
        <v>Vyberte typ budovy</v>
      </c>
      <c r="H6" s="198"/>
      <c r="I6" s="199" t="b">
        <f>IF(JePENB,AND(I5,M5),AND(I4,M4))</f>
        <v>0</v>
      </c>
      <c r="J6" s="96" t="str">
        <f>IF(AND(I6,L6),F6,"")</f>
        <v/>
      </c>
      <c r="K6" s="198">
        <f>IF(L6,ROW(F7),ROW())</f>
        <v>6</v>
      </c>
      <c r="L6" s="198" t="b">
        <f>NOT(ISBLANK(F6))</f>
        <v>0</v>
      </c>
      <c r="M6" s="198" t="b">
        <f>AND(M4,L6)</f>
        <v>0</v>
      </c>
      <c r="N6" s="198"/>
      <c r="O6" s="199"/>
      <c r="P6" s="96" cm="1">
        <f t="array" ref="P6">myidx(L6,ISBLANK(F6))</f>
        <v>2</v>
      </c>
      <c r="Q6" s="96" t="s">
        <v>21</v>
      </c>
      <c r="R6" s="96" t="s">
        <v>650</v>
      </c>
      <c r="S6" s="22"/>
      <c r="T6" s="22"/>
    </row>
    <row r="7" spans="2:83" s="181" customFormat="1" ht="35.450000000000003" customHeight="1" thickBot="1">
      <c r="B7" s="195" t="s">
        <v>12</v>
      </c>
      <c r="C7" s="196" t="s">
        <v>270</v>
      </c>
      <c r="D7" s="626" t="s">
        <v>89</v>
      </c>
      <c r="E7" s="627"/>
      <c r="F7" s="197"/>
      <c r="G7" s="407" t="str" cm="1">
        <f t="array" ref="G7">IFERROR(INDEX(Q7:S7,1,P7),"")</f>
        <v>Vyberte ano nebo ne.</v>
      </c>
      <c r="H7" s="408"/>
      <c r="I7" s="199" t="b">
        <f>AND(I6,M6)</f>
        <v>0</v>
      </c>
      <c r="J7" s="96" t="str">
        <f>IF(AND(I7,L7),F7,"")</f>
        <v/>
      </c>
      <c r="K7" s="198">
        <f>IF(L7,IF(JePENB,ROW(F10),ROW(F8)),ROW())</f>
        <v>7</v>
      </c>
      <c r="L7" s="145" t="b">
        <f>OR(F7=ano,F7=ne)</f>
        <v>0</v>
      </c>
      <c r="M7" s="96" t="b">
        <f>AND(L7,M6)</f>
        <v>0</v>
      </c>
      <c r="N7" s="96"/>
      <c r="O7" s="96"/>
      <c r="P7" s="145" cm="1">
        <f t="array" ref="P7">myidx(L7,ISBLANK(F7))</f>
        <v>2</v>
      </c>
      <c r="Q7" s="96" t="s">
        <v>21</v>
      </c>
      <c r="R7" s="96" t="s">
        <v>217</v>
      </c>
      <c r="S7" s="96"/>
      <c r="T7" s="22"/>
    </row>
    <row r="8" spans="2:83" ht="35.450000000000003" customHeight="1" thickBot="1">
      <c r="B8" s="195" t="s">
        <v>14</v>
      </c>
      <c r="C8" s="196" t="s">
        <v>271</v>
      </c>
      <c r="D8" s="626" t="s">
        <v>89</v>
      </c>
      <c r="E8" s="627"/>
      <c r="F8" s="197"/>
      <c r="G8" s="407" t="str" cm="1">
        <f t="array" ref="G8">IFERROR(INDEX(Q8:S8,1,P8),"")</f>
        <v>Vyberte ano nebo ne.</v>
      </c>
      <c r="H8" s="198"/>
      <c r="I8" s="199" t="b">
        <f>AND(NOT(JePENB),I7,M7)</f>
        <v>0</v>
      </c>
      <c r="J8" s="96" t="str">
        <f>IF(AND(I8,L8),F8,"")</f>
        <v/>
      </c>
      <c r="K8" s="198">
        <f>IF(L8,IF(J8=ano,ROW(F9),ROW(F10)),ROW())</f>
        <v>8</v>
      </c>
      <c r="L8" s="145" t="b">
        <f>OR(F8=ano,F8=ne)</f>
        <v>0</v>
      </c>
      <c r="M8" s="96" t="b">
        <f>AND(M7,OR(L8,JePENB))</f>
        <v>0</v>
      </c>
      <c r="N8" s="96"/>
      <c r="O8" s="96"/>
      <c r="P8" s="145" cm="1">
        <f t="array" ref="P8">myidx(L8,ISBLANK(F8))</f>
        <v>2</v>
      </c>
      <c r="Q8" s="96" t="s">
        <v>21</v>
      </c>
      <c r="R8" s="96" t="s">
        <v>217</v>
      </c>
      <c r="X8" s="204"/>
      <c r="Y8" s="204"/>
      <c r="Z8" s="204"/>
      <c r="AA8" s="204"/>
      <c r="AB8" s="204"/>
      <c r="AC8" s="204"/>
      <c r="AD8" s="204"/>
      <c r="AE8" s="204"/>
      <c r="AF8" s="204"/>
      <c r="AG8" s="204"/>
      <c r="AH8" s="204"/>
      <c r="AI8" s="204"/>
      <c r="AJ8" s="204"/>
      <c r="AK8" s="204"/>
      <c r="AL8" s="204"/>
      <c r="AM8" s="204"/>
      <c r="AN8" s="204"/>
      <c r="AO8" s="204"/>
      <c r="AP8" s="204"/>
      <c r="AQ8" s="204"/>
      <c r="AR8" s="204"/>
      <c r="AS8" s="204"/>
      <c r="AT8" s="204"/>
      <c r="AU8" s="204"/>
      <c r="AV8" s="204"/>
      <c r="AW8" s="204"/>
      <c r="AX8" s="204"/>
      <c r="AY8" s="204"/>
      <c r="AZ8" s="204"/>
      <c r="BA8" s="204"/>
      <c r="BB8" s="204"/>
      <c r="BC8" s="204"/>
      <c r="BD8" s="204"/>
      <c r="BE8" s="204"/>
      <c r="BF8" s="204"/>
      <c r="BG8" s="204"/>
      <c r="BH8" s="204"/>
      <c r="BI8" s="204"/>
      <c r="BJ8" s="204"/>
      <c r="BK8" s="204"/>
      <c r="BL8" s="204"/>
      <c r="BM8" s="204"/>
      <c r="BN8" s="204"/>
      <c r="BO8" s="204"/>
      <c r="BP8" s="204"/>
      <c r="BQ8" s="204"/>
      <c r="BR8" s="204"/>
      <c r="BS8" s="204"/>
      <c r="BT8" s="204"/>
      <c r="BU8" s="204"/>
      <c r="BV8" s="204"/>
      <c r="BW8" s="204"/>
      <c r="BX8" s="204"/>
      <c r="BY8" s="204"/>
      <c r="BZ8" s="204"/>
      <c r="CA8" s="204"/>
      <c r="CB8" s="204"/>
      <c r="CC8" s="204"/>
      <c r="CD8" s="204"/>
      <c r="CE8" s="204"/>
    </row>
    <row r="9" spans="2:83" ht="35.450000000000003" customHeight="1" thickBot="1">
      <c r="B9" s="201" t="s">
        <v>150</v>
      </c>
      <c r="C9" s="202" t="s">
        <v>272</v>
      </c>
      <c r="D9" s="626" t="s">
        <v>8</v>
      </c>
      <c r="E9" s="632"/>
      <c r="F9" s="203"/>
      <c r="G9" s="407" t="str" cm="1">
        <f t="array" ref="G9">IFERROR(INDEX(Q9:S9,1,P9),"")</f>
        <v>Zdejte roční spotřebu energie budovy.</v>
      </c>
      <c r="H9" s="198"/>
      <c r="I9" s="199" t="b">
        <f>AND(J8=ano,I8,M8)</f>
        <v>0</v>
      </c>
      <c r="J9" s="145">
        <f>I9*L9*F9</f>
        <v>0</v>
      </c>
      <c r="K9" s="198">
        <f>IF(L9,ROW(F10),ROW())</f>
        <v>9</v>
      </c>
      <c r="L9" s="198" t="b">
        <f>OR(J8=ne,AND(ISNUMBER(F9),IF(ISNUMBER(F9),F9&gt;0,FALSE)))</f>
        <v>0</v>
      </c>
      <c r="M9" s="96" t="b">
        <f>AND(M8,OR(L9,JePENB))</f>
        <v>0</v>
      </c>
      <c r="N9" s="198"/>
      <c r="P9" s="96" cm="1">
        <f t="array" ref="P9">myidx(L9,ISBLANK(F9),NOT(ISNUMBER(F9)),F9&lt;=0)</f>
        <v>2</v>
      </c>
      <c r="Q9" s="322" t="s">
        <v>21</v>
      </c>
      <c r="R9" s="22" t="s">
        <v>652</v>
      </c>
      <c r="S9" s="22" t="s">
        <v>23</v>
      </c>
      <c r="T9" s="22" t="s">
        <v>653</v>
      </c>
    </row>
    <row r="10" spans="2:83" ht="35.450000000000003" customHeight="1" thickBot="1">
      <c r="B10" s="201" t="s">
        <v>152</v>
      </c>
      <c r="C10" s="205" t="s">
        <v>273</v>
      </c>
      <c r="D10" s="626" t="s">
        <v>274</v>
      </c>
      <c r="E10" s="627"/>
      <c r="F10" s="203"/>
      <c r="G10" s="407" t="str" cm="1">
        <f t="array" ref="G10">IFERROR(INDEX(Q10:S10,1,P10),"")</f>
        <v>Zadejte plochu.</v>
      </c>
      <c r="H10" s="198"/>
      <c r="I10" s="199" t="b">
        <f>OR(M9,OR(AND(I8,J8=ne),AND(M9,J8=ano)))</f>
        <v>0</v>
      </c>
      <c r="J10" s="145">
        <f>I10*L10*F10</f>
        <v>0</v>
      </c>
      <c r="K10" s="198">
        <f>IF(L10,ROW(F11),ROW())</f>
        <v>10</v>
      </c>
      <c r="L10" s="198" t="b">
        <f>AND(ISNUMBER(F10),IF(ISNUMBER(F10),F10&gt;0,FALSE))</f>
        <v>0</v>
      </c>
      <c r="M10" s="198" t="b">
        <f t="shared" ref="M10" si="0">AND(M9,L10)</f>
        <v>0</v>
      </c>
      <c r="N10" s="198"/>
      <c r="P10" s="96" cm="1">
        <f t="array" ref="P10">myidx(L10,ISBLANK(F10),NOT(ISNUMBER(F10)),F10&lt;=0)</f>
        <v>2</v>
      </c>
      <c r="Q10" s="322" t="s">
        <v>21</v>
      </c>
      <c r="R10" s="22" t="s">
        <v>666</v>
      </c>
      <c r="S10" s="22" t="s">
        <v>23</v>
      </c>
      <c r="T10" s="22" t="s">
        <v>654</v>
      </c>
    </row>
    <row r="11" spans="2:83" ht="35.450000000000003" customHeight="1" thickBot="1">
      <c r="B11" s="201" t="s">
        <v>155</v>
      </c>
      <c r="C11" s="206" t="s">
        <v>275</v>
      </c>
      <c r="D11" s="626" t="s">
        <v>143</v>
      </c>
      <c r="E11" s="627"/>
      <c r="F11" s="207"/>
      <c r="G11" s="406" t="str" cm="1">
        <f t="array" ref="G11">IFERROR(INDEX(Q11:S11,1,P11),"")</f>
        <v>Vyberte období výstavby.</v>
      </c>
      <c r="H11" s="198"/>
      <c r="I11" s="199" t="b">
        <f>AND(I10,M10)</f>
        <v>0</v>
      </c>
      <c r="J11" s="96" t="str">
        <f>IF(AND(I11,L11),F11,"")</f>
        <v/>
      </c>
      <c r="K11" s="198">
        <f>IF(L11,ROW(F12),ROW())</f>
        <v>11</v>
      </c>
      <c r="L11" s="198" t="b">
        <f>NOT(ISBLANK(F11))</f>
        <v>0</v>
      </c>
      <c r="M11" s="198" t="b">
        <f t="shared" ref="M11:M15" si="1">AND(M10,L11)</f>
        <v>0</v>
      </c>
      <c r="N11" s="198"/>
      <c r="P11" s="96" cm="1">
        <f t="array" ref="P11">myidx(L11,ISBLANK(F11))</f>
        <v>2</v>
      </c>
      <c r="Q11" s="96" t="s">
        <v>21</v>
      </c>
      <c r="R11" s="96" t="s">
        <v>655</v>
      </c>
      <c r="S11" s="96"/>
    </row>
    <row r="12" spans="2:83" ht="35.450000000000003" customHeight="1" thickBot="1">
      <c r="B12" s="201" t="s">
        <v>157</v>
      </c>
      <c r="C12" s="205" t="s">
        <v>276</v>
      </c>
      <c r="D12" s="626" t="s">
        <v>277</v>
      </c>
      <c r="E12" s="627"/>
      <c r="F12" s="207"/>
      <c r="G12" s="406" t="str" cm="1">
        <f t="array" ref="G12">IFERROR(INDEX(Q12:T12,1,P12),"")</f>
        <v>Zadejte vnitřní teplotu v objektu, pozn. standartně 20°C pro pobyt osob</v>
      </c>
      <c r="H12" s="198"/>
      <c r="I12" s="199" t="b">
        <f>AND(I11,M11)</f>
        <v>0</v>
      </c>
      <c r="J12" s="145">
        <f>I12*L12*F12</f>
        <v>0</v>
      </c>
      <c r="K12" s="198">
        <f>IF(L12,IF(JePENB,IF(NOT(je_zdroj),ROW(F13),ROW(F17)),IF(NOT(je_zdroj),ROW(F13),ROW(F26))),ROW())</f>
        <v>12</v>
      </c>
      <c r="L12" s="198" t="b">
        <f>AND(ISNUMBER(F12),IF(ISNUMBER(F12),AND(F12&gt;=MinTeplota,F12&lt;=MaxTeplota),FALSE))</f>
        <v>0</v>
      </c>
      <c r="M12" s="198" t="b">
        <f t="shared" si="1"/>
        <v>0</v>
      </c>
      <c r="N12" s="198"/>
      <c r="P12" s="96" cm="1">
        <f t="array" ref="P12">myidx(L12,ISBLANK(F12),NOT(ISNUMBER(F12)),OR(F12&lt;MinTeplota,F12&gt;MaxTeplota))</f>
        <v>2</v>
      </c>
      <c r="Q12" s="322" t="s">
        <v>21</v>
      </c>
      <c r="R12" s="185" t="s">
        <v>651</v>
      </c>
      <c r="S12" s="22" t="s">
        <v>23</v>
      </c>
      <c r="T12" s="22" t="str">
        <f>"Teplota musí být v rozmezí " &amp; MinTeplota &amp; " - " &amp; MaxTeplota &amp; " °C."</f>
        <v>Teplota musí být v rozmezí 5 - 30 °C.</v>
      </c>
    </row>
    <row r="13" spans="2:83" ht="35.450000000000003" customHeight="1" thickBot="1">
      <c r="B13" s="201" t="s">
        <v>157</v>
      </c>
      <c r="C13" s="205" t="s">
        <v>278</v>
      </c>
      <c r="D13" s="626" t="s">
        <v>143</v>
      </c>
      <c r="E13" s="632"/>
      <c r="F13" s="208"/>
      <c r="G13" s="406" t="str" cm="1">
        <f t="array" ref="G13">IFERROR(INDEX(Q13:S13,1,P13),"")</f>
        <v>Vyberte typ zdroje.</v>
      </c>
      <c r="H13" s="198"/>
      <c r="I13" s="199" t="b">
        <f>AND(NOT(je_zdroj),I12,M12)</f>
        <v>0</v>
      </c>
      <c r="J13" s="96" t="str">
        <f>IF(AND(I13,L13),F13,"")</f>
        <v/>
      </c>
      <c r="K13" s="96">
        <f>IF(L13,IF(ZdrojPočetPalivBudova&gt;1,ROW(F14),IF(ZdrojIdxBudova=6,ROW(Zateplení!F15),IF(ZpůsobVýpočtu=1,ROW(F26),ROW(F17)))),ROW(F13))</f>
        <v>13</v>
      </c>
      <c r="L13" s="96" t="b">
        <f>OR(je_zdroj,NOT(ISBLANK(F13)))</f>
        <v>0</v>
      </c>
      <c r="M13" s="198" t="b">
        <f t="shared" si="1"/>
        <v>0</v>
      </c>
      <c r="N13" s="96"/>
      <c r="O13" s="96"/>
      <c r="P13" s="96" cm="1">
        <f t="array" ref="P13">myidx(L13,ISBLANK(F13))</f>
        <v>2</v>
      </c>
      <c r="Q13" s="96" t="s">
        <v>21</v>
      </c>
      <c r="R13" s="96" t="s">
        <v>199</v>
      </c>
      <c r="S13" s="96"/>
      <c r="T13" s="96"/>
    </row>
    <row r="14" spans="2:83" ht="35.450000000000003" customHeight="1" thickBot="1">
      <c r="B14" s="201" t="s">
        <v>160</v>
      </c>
      <c r="C14" s="205" t="s">
        <v>147</v>
      </c>
      <c r="D14" s="626" t="s">
        <v>143</v>
      </c>
      <c r="E14" s="627"/>
      <c r="F14" s="208"/>
      <c r="G14" s="407" t="str" cm="1">
        <f t="array" ref="G14">IF(P14&gt;0,INDEX(Q14:S14,1,P14),"")</f>
        <v>Vyberte palivo.</v>
      </c>
      <c r="H14" s="198"/>
      <c r="I14" s="199" t="b">
        <f>AND(ZdrojPočetPalivBudova&gt;1,I13,M13)</f>
        <v>0</v>
      </c>
      <c r="J14" s="145" t="str" cm="1">
        <f t="array" ref="J14">IF(L14,IF(ZdrojPočetPalivBudova=1,INDEX(ParametryZateplení!$B$20:$G$20,1,ZdrojIdxBudova),F14),"")</f>
        <v/>
      </c>
      <c r="K14" s="198">
        <f>IF(L14,IF(ZdrojIdxBudova=6,ROW(F15),IF(ZpůsobVýpočtu=1,ROW(F26),ROW(F17))),ROW())</f>
        <v>14</v>
      </c>
      <c r="L14" s="198" t="b">
        <f>OR(je_zdroj,OR(ZdrojPočetPalivBudova=1,AND(ZdrojPočetPalivBudova&gt;1,INDEX(ParametryZateplení!$B$18:$G$18,1,ZdrojIdxBudova))))</f>
        <v>0</v>
      </c>
      <c r="M14" s="198" t="b">
        <f t="shared" si="1"/>
        <v>0</v>
      </c>
      <c r="N14" s="198"/>
      <c r="P14" s="96" cm="1">
        <f t="array" ref="P14">myidx(L14,ISBLANK(F14),AND(ZdrojPočetPalivBudova&gt;1,NOT(INDEX(ParametryZateplení!$B$18:$G$18,1,ZdrojIdxBudova))))</f>
        <v>2</v>
      </c>
      <c r="Q14" s="96" t="s">
        <v>21</v>
      </c>
      <c r="R14" s="96" t="str">
        <f>IF(ParametryZateplení!B15=6,"Vyberte palivo zdroje SZT. Pokud nevíte, zvolte ""zemní plyn"".","Vyberte palivo.")</f>
        <v>Vyberte palivo.</v>
      </c>
      <c r="S14" s="96" t="s">
        <v>201</v>
      </c>
    </row>
    <row r="15" spans="2:83" ht="35.450000000000003" customHeight="1" thickBot="1">
      <c r="B15" s="201" t="s">
        <v>279</v>
      </c>
      <c r="C15" s="205" t="s">
        <v>149</v>
      </c>
      <c r="D15" s="626" t="s">
        <v>143</v>
      </c>
      <c r="E15" s="627"/>
      <c r="F15" s="209"/>
      <c r="G15" s="407" t="str" cm="1">
        <f t="array" ref="G15">IFERROR(INDEX(Q15:S15,1,P15),"")</f>
        <v>OK</v>
      </c>
      <c r="H15" s="408"/>
      <c r="I15" s="409" t="b">
        <f>AND(M14,ZdrojIdxBudova=6,OR(I14,ZdrojPočetPalivBudova=1))</f>
        <v>0</v>
      </c>
      <c r="J15" s="96" t="str">
        <f>IF(AND(L15,ZdrojIdxBudova=6),F15,"")</f>
        <v/>
      </c>
      <c r="K15" s="145">
        <f>IF(L15,IF(ZpůsobVýpočtu=1,ROW(F26),ROW(F17)),ROW())</f>
        <v>17</v>
      </c>
      <c r="L15" s="96" t="b">
        <f>OR(je_zdroj,OR(ZdrojIdxBudova&lt;&gt;6,NOT(ISBLANK(F15))))</f>
        <v>1</v>
      </c>
      <c r="M15" s="198" t="b">
        <f t="shared" si="1"/>
        <v>0</v>
      </c>
      <c r="N15" s="96"/>
      <c r="O15" s="96"/>
      <c r="P15" s="96" cm="1">
        <f t="array" ref="P15">myidx(OR(L15,ZdrojIdxBudova&lt;&gt;6),ISBLANK(F15))</f>
        <v>1</v>
      </c>
      <c r="Q15" s="96" t="s">
        <v>21</v>
      </c>
      <c r="R15" s="96" t="s">
        <v>255</v>
      </c>
      <c r="S15" s="96"/>
      <c r="T15" s="96"/>
    </row>
    <row r="16" spans="2:83" ht="15.75" thickBot="1">
      <c r="B16" s="190"/>
      <c r="C16" s="12"/>
      <c r="D16" s="240"/>
      <c r="E16" s="240"/>
      <c r="F16" s="181"/>
      <c r="I16" s="199" t="b">
        <f>I17</f>
        <v>0</v>
      </c>
    </row>
    <row r="17" spans="2:22" s="181" customFormat="1" ht="49.9" customHeight="1" thickBot="1">
      <c r="B17" s="214" t="s">
        <v>104</v>
      </c>
      <c r="C17" s="206" t="str">
        <f>IF(Výjimka,"Vypočtená hodnota průměrného součinitele prostupu tepla Uem stávajícího stavu projektu","Vypočtená hodnota průměrného součinitele prostupu tepla Uem po realizaci projektu")</f>
        <v>Vypočtená hodnota průměrného součinitele prostupu tepla Uem po realizaci projektu</v>
      </c>
      <c r="D17" s="626" t="s">
        <v>281</v>
      </c>
      <c r="E17" s="627"/>
      <c r="F17" s="207"/>
      <c r="G17" s="406" t="str" cm="1">
        <f t="array" ref="G17">IFERROR(INDEX(Q17:T17,1,P17),"")</f>
        <v>Zadejte hodnotu z PENB po realizaci z tabulky: Informace o stavebních prvcích a konstrukcích a technických systémech a.2) požadavky na průměrný součinitel prostupu tepla.</v>
      </c>
      <c r="H17" s="198"/>
      <c r="I17" s="199" t="b">
        <f>AND(JePENB,OR(AND(je_zdroj,I12,M12),AND(NOT(je_zdroj),OR(AND(ZdrojIdxBudova=6,I15,M15),AND(ZdrojIdxBudova&lt;&gt;6,ZdrojPočetPalivBudova=1,I13,M13),AND(ZdrojIdxBudova&lt;&gt;6,ZdrojPočetPalivBudova&gt;1,I14,M14)))))</f>
        <v>0</v>
      </c>
      <c r="J17" s="145">
        <f t="shared" ref="J17:J20" si="2">I17*L17*F17</f>
        <v>0</v>
      </c>
      <c r="K17" s="198">
        <f t="shared" ref="K17:K18" si="3">IF(L17,ROW(F18),ROW())</f>
        <v>17</v>
      </c>
      <c r="L17" s="198" t="b">
        <f>AND(ISNUMBER(F17),IF(ISNUMBER(F17),AND(F17&gt;=MinU,F17&lt;=MaxU),FALSE))</f>
        <v>0</v>
      </c>
      <c r="M17" s="198" t="b">
        <f>AND(M15,L17)</f>
        <v>0</v>
      </c>
      <c r="N17" s="198"/>
      <c r="O17" s="199"/>
      <c r="P17" s="96" cm="1">
        <f t="array" ref="P17">myidx(L17,ISBLANK(F17),NOT(ISNUMBER(F17)),OR(F17&lt;MinU,F17&gt;MaxU))</f>
        <v>2</v>
      </c>
      <c r="Q17" s="96" t="s">
        <v>21</v>
      </c>
      <c r="R17" s="185" t="s">
        <v>656</v>
      </c>
      <c r="S17" s="22" t="s">
        <v>23</v>
      </c>
      <c r="T17" s="22" t="str">
        <f>"Hodnota musí být v rozsahu " &amp; MinU &amp; " - " &amp; MaxU &amp; "."</f>
        <v>Hodnota musí být v rozsahu 0 - 5.</v>
      </c>
    </row>
    <row r="18" spans="2:22" s="181" customFormat="1" ht="49.9" customHeight="1" thickBot="1">
      <c r="B18" s="214" t="s">
        <v>81</v>
      </c>
      <c r="C18" s="206" t="str">
        <f>IF(Výjimka,"Referenční hodnota průměrného součinitele prostupu tepla Uem,R stávajícího stavu projektu","Referenční hodnota průměrného součinitele prostupu tepla Uem,R po realizaci projektu")</f>
        <v>Referenční hodnota průměrného součinitele prostupu tepla Uem,R po realizaci projektu</v>
      </c>
      <c r="D18" s="626" t="s">
        <v>281</v>
      </c>
      <c r="E18" s="627"/>
      <c r="F18" s="207"/>
      <c r="G18" s="406" t="str" cm="1">
        <f t="array" ref="G18">IFERROR(INDEX(Q18:U18,1,P18),"")</f>
        <v>Zadejte hodnotu z PENB po realizaci z tabulky: Informace o stavebních prvcích a konstrukcích a technických systémech a.2) požadavky na průměrný součinitel prostupu tepla.</v>
      </c>
      <c r="H18" s="198"/>
      <c r="I18" s="199" t="b">
        <f t="shared" ref="I18:I19" si="4">AND(I17,M17)</f>
        <v>0</v>
      </c>
      <c r="J18" s="145">
        <f t="shared" si="2"/>
        <v>0</v>
      </c>
      <c r="K18" s="198">
        <f t="shared" si="3"/>
        <v>18</v>
      </c>
      <c r="L18" s="198" t="b">
        <f>AND(ISNUMBER(F18),IF(ISNUMBER(F18),AND(F18&gt;=MinU,F18&lt;=MaxU,F18&gt;=F17),FALSE))</f>
        <v>0</v>
      </c>
      <c r="M18" s="198" t="b">
        <f>AND(M17,L18)</f>
        <v>0</v>
      </c>
      <c r="N18" s="198" t="b">
        <f>P18=4</f>
        <v>0</v>
      </c>
      <c r="O18" s="199"/>
      <c r="P18" s="96" cm="1">
        <f t="array" ref="P18">myidx(L18,ISBLANK(F18),NOT(ISNUMBER(F18)),F18&lt;F17,OR(F18&lt;MinU,F18&gt;MaxU))</f>
        <v>2</v>
      </c>
      <c r="Q18" s="96" t="s">
        <v>21</v>
      </c>
      <c r="R18" s="185" t="s">
        <v>656</v>
      </c>
      <c r="S18" s="22" t="s">
        <v>23</v>
      </c>
      <c r="T18" s="22" t="s">
        <v>1168</v>
      </c>
      <c r="U18" s="22" t="str">
        <f>"Hodnota musí být v rozsahu " &amp; MinU &amp; " - " &amp; MaxU &amp; "."</f>
        <v>Hodnota musí být v rozsahu 0 - 5.</v>
      </c>
    </row>
    <row r="19" spans="2:22" s="181" customFormat="1" ht="49.9" customHeight="1" thickBot="1">
      <c r="B19" s="214" t="s">
        <v>167</v>
      </c>
      <c r="C19" s="206" t="str">
        <f>IF(Výjimka,"Vypočtená hodnota dodané energie ER stávajícího stavu projektu","Vypočtená hodnota dodané energie ER po realizaci projektu")</f>
        <v>Vypočtená hodnota dodané energie ER po realizaci projektu</v>
      </c>
      <c r="D19" s="626" t="s">
        <v>8</v>
      </c>
      <c r="E19" s="627"/>
      <c r="F19" s="203"/>
      <c r="G19" s="406" t="e" cm="1" vm="1">
        <f t="array" aca="1" ref="G19" ca="1">IFERROR(INDEX(Q19:U19,1,P19),"")</f>
        <v>#VALUE!</v>
      </c>
      <c r="H19" s="75"/>
      <c r="I19" s="199" t="b">
        <f t="shared" si="4"/>
        <v>0</v>
      </c>
      <c r="J19" s="145">
        <f t="shared" si="2"/>
        <v>0</v>
      </c>
      <c r="K19" s="198">
        <f>IF(L19,ROW(F20),ROW())</f>
        <v>19</v>
      </c>
      <c r="L19" s="198" t="b">
        <f>AND(ISNUMBER(F19),IF(ISNUMBER(F19),F19&gt;0,FALSE))</f>
        <v>0</v>
      </c>
      <c r="M19" s="198" t="b">
        <f t="shared" ref="M19:M21" si="5">AND(M18,L19)</f>
        <v>0</v>
      </c>
      <c r="N19" s="198"/>
      <c r="O19" s="199"/>
      <c r="P19" s="96" cm="1">
        <f t="array" ref="P19">IFERROR(myidx(AND(L19,(F19/$F$10)&gt;=MinSpotř_m2),ISBLANK(F19),NOT(ISNUMBER(F19)),F19&lt;0,(F19/$F$10)&lt;MinSpotř_m2),0)</f>
        <v>0</v>
      </c>
      <c r="Q19" s="96" t="s">
        <v>21</v>
      </c>
      <c r="R19" s="325" t="s">
        <v>658</v>
      </c>
      <c r="S19" s="22" t="s">
        <v>23</v>
      </c>
      <c r="T19" s="22" t="s">
        <v>216</v>
      </c>
      <c r="U19" s="22" t="s">
        <v>659</v>
      </c>
    </row>
    <row r="20" spans="2:22" s="181" customFormat="1" ht="49.9" customHeight="1" thickBot="1">
      <c r="B20" s="214" t="s">
        <v>168</v>
      </c>
      <c r="C20" s="206" t="str">
        <f>IF(Výjimka,"Vypočtená hodnota referenční dodané energie ER stávajícího stavu projektu","Vypočtená hodnota referenční dodané energie ER po realizaci projektu")</f>
        <v>Vypočtená hodnota referenční dodané energie ER po realizaci projektu</v>
      </c>
      <c r="D20" s="626" t="s">
        <v>8</v>
      </c>
      <c r="E20" s="627"/>
      <c r="F20" s="203"/>
      <c r="G20" s="406" t="e" cm="1" vm="2">
        <f t="array" aca="1" ref="G20" ca="1">IFERROR(INDEX(Q20:V20,1,P20),"")</f>
        <v>#VALUE!</v>
      </c>
      <c r="H20" s="75"/>
      <c r="I20" s="199" t="b">
        <f>AND(I19,M19)</f>
        <v>0</v>
      </c>
      <c r="J20" s="145">
        <f t="shared" si="2"/>
        <v>0</v>
      </c>
      <c r="K20" s="198">
        <f>IF(Výjimka,ROW(),IF(L20,ROW(F21),ROW()))</f>
        <v>20</v>
      </c>
      <c r="L20" s="198" t="b">
        <f>AND(ISNUMBER(F20),IF(ISNUMBER(F20),AND(F20&gt;0,F20&gt;F19),FALSE))</f>
        <v>0</v>
      </c>
      <c r="M20" s="198" t="b">
        <f>AND(M19,L20)</f>
        <v>0</v>
      </c>
      <c r="N20" s="198" t="b">
        <f>P20=5</f>
        <v>0</v>
      </c>
      <c r="O20" s="199"/>
      <c r="P20" s="96" cm="1">
        <f t="array" ref="P20">IFERROR(myidx(AND(L20,(F20/$F$10)&gt;=MinSpotř_m2),ISBLANK(F20),NOT(ISNUMBER(F20)),F20&lt;0,F20&lt;F19,(F20/$F$10)&lt;MinSpotř_m2),0)</f>
        <v>0</v>
      </c>
      <c r="Q20" s="96" t="s">
        <v>21</v>
      </c>
      <c r="R20" s="325" t="s">
        <v>658</v>
      </c>
      <c r="S20" s="22" t="s">
        <v>23</v>
      </c>
      <c r="T20" s="22" t="s">
        <v>216</v>
      </c>
      <c r="U20" s="22" t="s">
        <v>1169</v>
      </c>
      <c r="V20" s="22" t="s">
        <v>659</v>
      </c>
    </row>
    <row r="21" spans="2:22" s="181" customFormat="1" ht="49.9" customHeight="1" thickBot="1">
      <c r="B21" s="214" t="s">
        <v>169</v>
      </c>
      <c r="C21" s="206" t="s">
        <v>282</v>
      </c>
      <c r="D21" s="626" t="s">
        <v>8</v>
      </c>
      <c r="E21" s="627"/>
      <c r="F21" s="203"/>
      <c r="G21" s="406" t="e" cm="1" vm="2">
        <f t="array" aca="1" ref="G21" ca="1">IFERROR(INDEX(Q21:V21,1,P21),"")</f>
        <v>#VALUE!</v>
      </c>
      <c r="H21" s="75"/>
      <c r="I21" s="199" t="b">
        <f>AND(I20,M20,J5=ne)</f>
        <v>0</v>
      </c>
      <c r="J21" s="145">
        <f>IF(Výjimka,J19,I21*L21*F21)</f>
        <v>0</v>
      </c>
      <c r="K21" s="198">
        <f>IF(L21,IF(AND(JePENB,P18&lt;&gt;5,P19&lt;&gt;5,P20&lt;&gt;5),ROW(F26),IF(J5=27,ROW(F26),ROW(F22))),ROW())</f>
        <v>21</v>
      </c>
      <c r="L21" s="198" t="b">
        <f>OR(AND(ISNUMBER(F21),IF(ISNUMBER(F21),AND(F21&gt;0,F21&gt;F19),FALSE)),J5=ano)</f>
        <v>0</v>
      </c>
      <c r="M21" s="198" t="b">
        <f t="shared" si="5"/>
        <v>0</v>
      </c>
      <c r="N21" s="198" t="b">
        <f>P21=5</f>
        <v>0</v>
      </c>
      <c r="O21" s="199"/>
      <c r="P21" s="96" cm="1">
        <f t="array" ref="P21">IFERROR(myidx(OR(AND(L21,(F21/$F$10)&gt;=MinSpotř_m2),J5=ano),ISBLANK(F21),NOT(ISNUMBER(F21)),F21&lt;0,F21&lt;F19,(F21/$F$10)&lt;MinSpotř_m2),0)</f>
        <v>0</v>
      </c>
      <c r="Q21" s="96" t="s">
        <v>21</v>
      </c>
      <c r="R21" s="325" t="s">
        <v>658</v>
      </c>
      <c r="S21" s="22" t="s">
        <v>23</v>
      </c>
      <c r="T21" s="22" t="s">
        <v>216</v>
      </c>
      <c r="U21" s="22" t="s">
        <v>1170</v>
      </c>
      <c r="V21" s="22" t="s">
        <v>659</v>
      </c>
    </row>
    <row r="22" spans="2:22" s="181" customFormat="1" ht="50.1" customHeight="1" thickBot="1">
      <c r="B22" s="214" t="s">
        <v>170</v>
      </c>
      <c r="C22" s="206" t="s">
        <v>284</v>
      </c>
      <c r="D22" s="628"/>
      <c r="E22" s="629"/>
      <c r="F22" s="197"/>
      <c r="G22" s="407" t="str" cm="1">
        <f t="array" ref="G22">IFERROR(INDEX(Q22:S22,1,P22),"")</f>
        <v>OK</v>
      </c>
      <c r="H22" s="198"/>
      <c r="I22" s="199" t="b">
        <f>AND(JePENB,I21,M21,OR(P19=5,P20=6,P21=6))</f>
        <v>0</v>
      </c>
      <c r="J22" s="96" t="str">
        <f>IF(AND(JePENB,P18&lt;&gt;5,P19&lt;&gt;6,P20&lt;&gt;6),ano,IF(AND(I22,L22),F22,""))</f>
        <v/>
      </c>
      <c r="K22" s="198">
        <f>IF(L22,ROW(F26),ROW())</f>
        <v>26</v>
      </c>
      <c r="L22" s="198" t="b">
        <f>OR(F22=ano,F22=ne,AND(P19&lt;&gt;5,P20&lt;&gt;6,P21&lt;&gt;6))</f>
        <v>1</v>
      </c>
      <c r="M22" s="198" t="b">
        <f>AND(M21,OR(L22,J5=ano))</f>
        <v>0</v>
      </c>
      <c r="N22" s="198"/>
      <c r="O22" s="199"/>
      <c r="P22" s="145" cm="1">
        <f t="array" ref="P22">IFERROR(myidx(OR(F22=ano,AND(L22,P19&lt;&gt;5,P20&lt;&gt;6,P21&lt;&gt;6)),AND(OR(ISBLANK(F22),F22=ne),OR(P19=5,P20=5,P21=5))),0)</f>
        <v>1</v>
      </c>
      <c r="Q22" s="96" t="s">
        <v>21</v>
      </c>
      <c r="R22" s="96" t="s">
        <v>665</v>
      </c>
      <c r="S22" s="96"/>
      <c r="T22" s="22"/>
    </row>
    <row r="23" spans="2:22" s="181" customFormat="1" ht="15.75" customHeight="1" thickBot="1">
      <c r="B23" s="217"/>
      <c r="C23" s="211"/>
      <c r="D23" s="212"/>
      <c r="E23" s="212"/>
      <c r="F23" s="213"/>
      <c r="G23" s="198"/>
      <c r="H23" s="198"/>
      <c r="I23" s="199" t="b">
        <v>1</v>
      </c>
      <c r="J23" s="185"/>
      <c r="K23" s="198"/>
      <c r="L23" s="198"/>
      <c r="M23" s="198"/>
      <c r="N23" s="198"/>
      <c r="O23" s="199"/>
      <c r="P23" s="199"/>
      <c r="Q23" s="322"/>
      <c r="R23" s="22"/>
      <c r="S23" s="22"/>
      <c r="T23" s="22"/>
    </row>
    <row r="24" spans="2:22" ht="43.15" customHeight="1" thickBot="1">
      <c r="B24" s="218" t="s">
        <v>285</v>
      </c>
      <c r="C24" s="479" t="s">
        <v>286</v>
      </c>
      <c r="D24" s="21"/>
      <c r="E24" s="21"/>
      <c r="F24" s="478"/>
      <c r="G24" s="219" t="s">
        <v>287</v>
      </c>
      <c r="H24" s="321"/>
      <c r="I24" s="411" t="b">
        <f>I26</f>
        <v>0</v>
      </c>
      <c r="J24" s="185"/>
      <c r="K24" s="185"/>
      <c r="L24" s="185"/>
      <c r="N24" s="198"/>
    </row>
    <row r="25" spans="2:22" s="181" customFormat="1" ht="30" customHeight="1" thickBot="1">
      <c r="B25" s="467" t="s">
        <v>288</v>
      </c>
      <c r="C25" s="468"/>
      <c r="D25" s="468"/>
      <c r="E25" s="468"/>
      <c r="F25" s="468"/>
      <c r="G25" s="198"/>
      <c r="H25" s="198"/>
      <c r="I25" s="199" t="b">
        <f>I26</f>
        <v>0</v>
      </c>
      <c r="J25" s="185"/>
      <c r="K25" s="198"/>
      <c r="L25" s="198"/>
      <c r="M25" s="198"/>
      <c r="N25" s="198"/>
      <c r="O25" s="199"/>
      <c r="P25" s="199"/>
      <c r="Q25" s="322"/>
      <c r="R25" s="22"/>
      <c r="S25" s="22"/>
      <c r="T25" s="22"/>
    </row>
    <row r="26" spans="2:22" s="181" customFormat="1" ht="30" customHeight="1" thickBot="1">
      <c r="B26" s="201" t="s">
        <v>289</v>
      </c>
      <c r="C26" s="634" t="s">
        <v>290</v>
      </c>
      <c r="D26" s="626" t="s">
        <v>291</v>
      </c>
      <c r="E26" s="627"/>
      <c r="F26" s="207"/>
      <c r="G26" s="407" t="str" cm="1">
        <f t="array" ref="G26">IF(P26&gt;0,INDEX(Q26:S26,1,P26),"")</f>
        <v>Vyberte z předvolených konstrukcí konstrukci, která nejvíce odpovídá vašemu objektu</v>
      </c>
      <c r="H26" s="198"/>
      <c r="I26" s="199" t="b">
        <f>OR(AND(NOT(JePENB),M15),AND(JePENB,M22))</f>
        <v>0</v>
      </c>
      <c r="J26" s="96" t="str">
        <f t="shared" ref="J26" si="6">IF(AND(I26,L26),F26,"")</f>
        <v/>
      </c>
      <c r="K26" s="198">
        <f>IF(L26,ROW(F27),ROW())</f>
        <v>26</v>
      </c>
      <c r="L26" s="96" t="b">
        <f>AND(NOT(ISBLANK(F26)),Budova!K16&gt;0)</f>
        <v>0</v>
      </c>
      <c r="M26" s="198" t="b">
        <f>AND(M15,L26)</f>
        <v>0</v>
      </c>
      <c r="N26" s="198"/>
      <c r="O26" s="199"/>
      <c r="P26" s="96" cm="1">
        <f t="array" ref="P26">myidx(L26,ISBLANK(F26),Budova!K16&lt;=0)</f>
        <v>2</v>
      </c>
      <c r="Q26" s="96" t="s">
        <v>21</v>
      </c>
      <c r="R26" s="185" t="s">
        <v>292</v>
      </c>
      <c r="S26" s="22" t="s">
        <v>1207</v>
      </c>
      <c r="T26" s="22"/>
    </row>
    <row r="27" spans="2:22" s="181" customFormat="1" ht="30" customHeight="1" thickBot="1">
      <c r="B27" s="201" t="s">
        <v>293</v>
      </c>
      <c r="C27" s="635"/>
      <c r="D27" s="232" t="s">
        <v>1208</v>
      </c>
      <c r="E27" s="232" t="s">
        <v>1209</v>
      </c>
      <c r="F27" s="203"/>
      <c r="G27" s="406" t="str" cm="1">
        <f t="array" ref="G27">IFERROR(INDEX(Q27:U27,1,P27),"")</f>
        <v>Zadejte celkovou plochu obvodového pláště.</v>
      </c>
      <c r="H27" s="198"/>
      <c r="I27" s="199" t="b">
        <f t="shared" ref="I27" si="7">AND(I26,M26)</f>
        <v>0</v>
      </c>
      <c r="J27" s="145">
        <f t="shared" ref="J27" si="8">I27*L27*F27</f>
        <v>0</v>
      </c>
      <c r="K27" s="198">
        <f>IF(L27,ROW(F28),ROW())</f>
        <v>27</v>
      </c>
      <c r="L27" s="198" t="b">
        <f>AND(ISNUMBER(F27),IF(ISNUMBER(F27),F27&gt;0,FALSE))</f>
        <v>0</v>
      </c>
      <c r="M27" s="198" t="b">
        <f t="shared" ref="M27" si="9">AND(M26,L27)</f>
        <v>0</v>
      </c>
      <c r="N27" s="198"/>
      <c r="O27" s="199"/>
      <c r="P27" s="96" cm="1">
        <f t="array" ref="P27">myidx(L27,ISBLANK(F27),NOT(ISNUMBER(F27)),F27&lt;=0)</f>
        <v>2</v>
      </c>
      <c r="Q27" s="96" t="s">
        <v>21</v>
      </c>
      <c r="R27" s="185" t="s">
        <v>1210</v>
      </c>
      <c r="S27" s="22" t="s">
        <v>23</v>
      </c>
      <c r="T27" s="22" t="s">
        <v>654</v>
      </c>
    </row>
    <row r="28" spans="2:22" s="181" customFormat="1" ht="30" customHeight="1" thickBot="1">
      <c r="B28" s="201" t="s">
        <v>954</v>
      </c>
      <c r="C28" s="636" t="s">
        <v>294</v>
      </c>
      <c r="D28" s="626" t="s">
        <v>295</v>
      </c>
      <c r="E28" s="627"/>
      <c r="F28" s="207"/>
      <c r="G28" s="407" t="str" cm="1">
        <f t="array" ref="G28">IF(P28&gt;0,INDEX(Q28:S28,1,P28),"")</f>
        <v>"Šikmá střecha" znamená využívané podkroví, "Strop půdy" znamená nevytápěnou půdu</v>
      </c>
      <c r="H28" s="198"/>
      <c r="I28" s="199" t="b">
        <f>AND(I27,M27)</f>
        <v>0</v>
      </c>
      <c r="J28" s="96" t="str">
        <f t="shared" ref="J28:J29" si="10">IF(AND(I28,L28),F28,"")</f>
        <v/>
      </c>
      <c r="K28" s="198">
        <f t="shared" ref="K28:K37" si="11">IF(L28,ROW(F29),ROW())</f>
        <v>28</v>
      </c>
      <c r="L28" s="96" t="b">
        <f>NOT(ISBLANK(F28))</f>
        <v>0</v>
      </c>
      <c r="M28" s="198" t="b">
        <f>AND(M26,L28)</f>
        <v>0</v>
      </c>
      <c r="N28" s="198"/>
      <c r="O28" s="199"/>
      <c r="P28" s="96" cm="1">
        <f t="array" ref="P28">myidx(L28,ISBLANK(F28))</f>
        <v>2</v>
      </c>
      <c r="Q28" s="96" t="s">
        <v>21</v>
      </c>
      <c r="R28" s="185" t="s">
        <v>296</v>
      </c>
      <c r="S28" s="22" t="s">
        <v>1207</v>
      </c>
      <c r="T28" s="22"/>
    </row>
    <row r="29" spans="2:22" s="181" customFormat="1" ht="30" customHeight="1" thickBot="1">
      <c r="B29" s="201" t="s">
        <v>955</v>
      </c>
      <c r="C29" s="637"/>
      <c r="D29" s="626" t="s">
        <v>291</v>
      </c>
      <c r="E29" s="627"/>
      <c r="F29" s="207"/>
      <c r="G29" s="407" t="str" cm="1">
        <f t="array" aca="1" ref="G29" ca="1">IF(P29&gt;0,INDEX(Q29:S29,1,P29),"")</f>
        <v>Vyberte z předvolených konstrukcí konstrukci, která nejvíce odpovídá vašemu objektu, pokud je předvolená pouze 1 možnost, vyberte ji</v>
      </c>
      <c r="H29" s="198"/>
      <c r="I29" s="199" t="b">
        <f t="shared" ref="I29:I38" si="12">AND(I28,M28)</f>
        <v>0</v>
      </c>
      <c r="J29" s="96" t="str">
        <f t="shared" ca="1" si="10"/>
        <v/>
      </c>
      <c r="K29" s="198">
        <f t="shared" ca="1" si="11"/>
        <v>29</v>
      </c>
      <c r="L29" s="96" t="b">
        <f ca="1">AND(NOT(ISBLANK(F29)),Budova!J13)</f>
        <v>0</v>
      </c>
      <c r="M29" s="198" t="b">
        <f t="shared" ref="M29:M30" ca="1" si="13">AND(M28,L29)</f>
        <v>0</v>
      </c>
      <c r="N29" s="198"/>
      <c r="O29" s="199"/>
      <c r="P29" s="96" cm="1">
        <f t="array" aca="1" ref="P29" ca="1">myidx(L29,ISBLANK(F29),NOT(Budova!J13))</f>
        <v>2</v>
      </c>
      <c r="Q29" s="96" t="s">
        <v>21</v>
      </c>
      <c r="R29" s="185" t="s">
        <v>297</v>
      </c>
      <c r="S29" s="22" t="s">
        <v>1211</v>
      </c>
      <c r="T29" s="22"/>
    </row>
    <row r="30" spans="2:22" s="181" customFormat="1" ht="30" customHeight="1" thickBot="1">
      <c r="B30" s="201" t="s">
        <v>1212</v>
      </c>
      <c r="C30" s="638"/>
      <c r="D30" s="232" t="s">
        <v>1208</v>
      </c>
      <c r="E30" s="232" t="s">
        <v>1209</v>
      </c>
      <c r="F30" s="203"/>
      <c r="G30" s="406" t="str" cm="1">
        <f t="array" ref="G30">IFERROR(INDEX(Q30:U30,1,P30),"")</f>
        <v>Zadejte celkovou plochu střechy nebo stropu pod půdou.</v>
      </c>
      <c r="H30" s="198"/>
      <c r="I30" s="199" t="b">
        <f t="shared" ca="1" si="12"/>
        <v>0</v>
      </c>
      <c r="J30" s="145">
        <f t="shared" ref="J30" ca="1" si="14">I30*L30*F30</f>
        <v>0</v>
      </c>
      <c r="K30" s="198">
        <f t="shared" si="11"/>
        <v>30</v>
      </c>
      <c r="L30" s="198" t="b">
        <f>AND(ISNUMBER(F30),IF(ISNUMBER(F30),F30&gt;0,FALSE))</f>
        <v>0</v>
      </c>
      <c r="M30" s="198" t="b">
        <f t="shared" ca="1" si="13"/>
        <v>0</v>
      </c>
      <c r="N30" s="198"/>
      <c r="O30" s="199"/>
      <c r="P30" s="96" cm="1">
        <f t="array" ref="P30">myidx(L30,ISBLANK(F30),NOT(ISNUMBER(F30)),F30&lt;=0)</f>
        <v>2</v>
      </c>
      <c r="Q30" s="96" t="s">
        <v>21</v>
      </c>
      <c r="R30" s="185" t="s">
        <v>1213</v>
      </c>
      <c r="S30" s="22" t="s">
        <v>23</v>
      </c>
      <c r="T30" s="22" t="s">
        <v>654</v>
      </c>
    </row>
    <row r="31" spans="2:22" s="181" customFormat="1" ht="30" customHeight="1" thickBot="1">
      <c r="B31" s="201" t="s">
        <v>956</v>
      </c>
      <c r="C31" s="636" t="s">
        <v>298</v>
      </c>
      <c r="D31" s="626" t="s">
        <v>295</v>
      </c>
      <c r="E31" s="627"/>
      <c r="F31" s="207"/>
      <c r="G31" s="407" t="str" cm="1">
        <f t="array" ref="G31">IF(P31&gt;0,INDEX(Q31:S31,1,P31),"")</f>
        <v>Pokud je v budově vytápěný suterén - zvolte "Podlaha na zemině"</v>
      </c>
      <c r="H31" s="198"/>
      <c r="I31" s="199" t="b">
        <f t="shared" ca="1" si="12"/>
        <v>0</v>
      </c>
      <c r="J31" s="96" t="str">
        <f t="shared" ref="J31:J32" ca="1" si="15">IF(AND(I31,L31),F31,"")</f>
        <v/>
      </c>
      <c r="K31" s="198">
        <f t="shared" si="11"/>
        <v>31</v>
      </c>
      <c r="L31" s="96" t="b">
        <f>NOT(ISBLANK(F31))</f>
        <v>0</v>
      </c>
      <c r="M31" s="198" t="b">
        <f ca="1">AND(M29,L31)</f>
        <v>0</v>
      </c>
      <c r="N31" s="198"/>
      <c r="O31" s="199"/>
      <c r="P31" s="96" cm="1">
        <f t="array" ref="P31">myidx(L31,ISBLANK(F31))</f>
        <v>2</v>
      </c>
      <c r="Q31" s="96" t="s">
        <v>21</v>
      </c>
      <c r="R31" s="185" t="s">
        <v>299</v>
      </c>
      <c r="S31" s="22" t="s">
        <v>1207</v>
      </c>
      <c r="T31" s="22"/>
    </row>
    <row r="32" spans="2:22" s="181" customFormat="1" ht="30" customHeight="1" thickBot="1">
      <c r="B32" s="201" t="s">
        <v>957</v>
      </c>
      <c r="C32" s="637"/>
      <c r="D32" s="626" t="s">
        <v>291</v>
      </c>
      <c r="E32" s="627"/>
      <c r="F32" s="207"/>
      <c r="G32" s="407" t="str" cm="1">
        <f t="array" aca="1" ref="G32" ca="1">IF(P32&gt;0,INDEX(Q32:S32,1,P32),"")</f>
        <v>Vyberte z předvolených konstrukcí konstrukci, která nejvíce odpovídá vašemu objektu, pokud je předvolená pouze 1 možnost, vyberte ji.</v>
      </c>
      <c r="H32" s="198"/>
      <c r="I32" s="199" t="b">
        <f t="shared" ca="1" si="12"/>
        <v>0</v>
      </c>
      <c r="J32" s="96" t="str">
        <f t="shared" ca="1" si="15"/>
        <v/>
      </c>
      <c r="K32" s="198">
        <f t="shared" ca="1" si="11"/>
        <v>32</v>
      </c>
      <c r="L32" s="96" t="b">
        <f ca="1">AND(NOT(ISBLANK(F32)),Budova!L13)</f>
        <v>0</v>
      </c>
      <c r="M32" s="198" t="b">
        <f t="shared" ref="M32:M33" ca="1" si="16">AND(M31,L32)</f>
        <v>0</v>
      </c>
      <c r="N32" s="198"/>
      <c r="O32" s="199"/>
      <c r="P32" s="96" cm="1">
        <f t="array" aca="1" ref="P32" ca="1">myidx(L32,ISBLANK(F32),NOT(Budova!L13))</f>
        <v>2</v>
      </c>
      <c r="Q32" s="96" t="s">
        <v>21</v>
      </c>
      <c r="R32" s="185" t="s">
        <v>961</v>
      </c>
      <c r="S32" s="22" t="s">
        <v>1214</v>
      </c>
      <c r="T32" s="22"/>
    </row>
    <row r="33" spans="2:22" s="181" customFormat="1" ht="30" customHeight="1" thickBot="1">
      <c r="B33" s="201" t="s">
        <v>1215</v>
      </c>
      <c r="C33" s="638"/>
      <c r="D33" s="232" t="s">
        <v>1208</v>
      </c>
      <c r="E33" s="232" t="s">
        <v>1209</v>
      </c>
      <c r="F33" s="203"/>
      <c r="G33" s="406" t="str" cm="1">
        <f t="array" ref="G33">IFERROR(INDEX(Q33:U33,1,P33),"")</f>
        <v>Zadejte celkovou plochu podlahy.</v>
      </c>
      <c r="H33" s="198"/>
      <c r="I33" s="199" t="b">
        <f t="shared" ca="1" si="12"/>
        <v>0</v>
      </c>
      <c r="J33" s="145">
        <f t="shared" ref="J33" ca="1" si="17">I33*L33*F33</f>
        <v>0</v>
      </c>
      <c r="K33" s="198">
        <f t="shared" si="11"/>
        <v>33</v>
      </c>
      <c r="L33" s="198" t="b">
        <f>AND(ISNUMBER(F33),IF(ISNUMBER(F33),F33&gt;0,FALSE))</f>
        <v>0</v>
      </c>
      <c r="M33" s="198" t="b">
        <f t="shared" ca="1" si="16"/>
        <v>0</v>
      </c>
      <c r="N33" s="198"/>
      <c r="O33" s="199"/>
      <c r="P33" s="96" cm="1">
        <f t="array" ref="P33">myidx(L33,ISBLANK(F33),NOT(ISNUMBER(F33)),F33&lt;=0)</f>
        <v>2</v>
      </c>
      <c r="Q33" s="96" t="s">
        <v>21</v>
      </c>
      <c r="R33" s="185" t="s">
        <v>1216</v>
      </c>
      <c r="S33" s="22" t="s">
        <v>23</v>
      </c>
      <c r="T33" s="22" t="s">
        <v>654</v>
      </c>
    </row>
    <row r="34" spans="2:22" s="181" customFormat="1" ht="30" customHeight="1" thickBot="1">
      <c r="B34" s="201" t="s">
        <v>958</v>
      </c>
      <c r="C34" s="634" t="s">
        <v>300</v>
      </c>
      <c r="D34" s="626" t="s">
        <v>295</v>
      </c>
      <c r="E34" s="627"/>
      <c r="F34" s="207"/>
      <c r="G34" s="407" t="str" cm="1">
        <f t="array" ref="G34">IF(P34&gt;0,INDEX(Q34:S34,1,P34),"")</f>
        <v>Vyberte výplň, kterou hodláte měnit. Pokud měníte více typů výplní, zvolte tu , která odpovídá největší ploše měněných výplní.</v>
      </c>
      <c r="H34" s="198"/>
      <c r="I34" s="199" t="b">
        <f t="shared" ca="1" si="12"/>
        <v>0</v>
      </c>
      <c r="J34" s="96" t="str">
        <f t="shared" ref="J34" ca="1" si="18">IF(AND(I34,L34),F34,"")</f>
        <v/>
      </c>
      <c r="K34" s="198">
        <f t="shared" si="11"/>
        <v>34</v>
      </c>
      <c r="L34" s="96" t="b">
        <f>AND(NOT(ISBLANK(F34)),Budova!K19&gt;0)</f>
        <v>0</v>
      </c>
      <c r="M34" s="198" t="b">
        <f ca="1">AND(M32,L34)</f>
        <v>0</v>
      </c>
      <c r="N34" s="198"/>
      <c r="O34" s="199"/>
      <c r="P34" s="96" cm="1">
        <f t="array" ref="P34">myidx(L34,ISBLANK(F34),Budova!K19&lt;=0)</f>
        <v>2</v>
      </c>
      <c r="Q34" s="96" t="s">
        <v>21</v>
      </c>
      <c r="R34" s="185" t="s">
        <v>301</v>
      </c>
      <c r="S34" s="22" t="s">
        <v>1207</v>
      </c>
      <c r="T34" s="22"/>
    </row>
    <row r="35" spans="2:22" s="181" customFormat="1" ht="30" customHeight="1" thickBot="1">
      <c r="B35" s="201" t="s">
        <v>1217</v>
      </c>
      <c r="C35" s="635"/>
      <c r="D35" s="232" t="s">
        <v>1208</v>
      </c>
      <c r="E35" s="232" t="s">
        <v>1209</v>
      </c>
      <c r="F35" s="203"/>
      <c r="G35" s="406" t="str" cm="1">
        <f t="array" ref="G35">IFERROR(INDEX(Q35:U35,1,P35),"")</f>
        <v>Zadejte celkovou plochu oken.</v>
      </c>
      <c r="H35" s="198"/>
      <c r="I35" s="199" t="b">
        <f t="shared" ca="1" si="12"/>
        <v>0</v>
      </c>
      <c r="J35" s="145">
        <f t="shared" ref="J35" ca="1" si="19">I35*L35*F35</f>
        <v>0</v>
      </c>
      <c r="K35" s="198">
        <f t="shared" si="11"/>
        <v>35</v>
      </c>
      <c r="L35" s="198" t="b">
        <f>AND(ISNUMBER(F35),IF(ISNUMBER(F35),F35&gt;0,FALSE))</f>
        <v>0</v>
      </c>
      <c r="M35" s="198" t="b">
        <f t="shared" ref="M35" ca="1" si="20">AND(M34,L35)</f>
        <v>0</v>
      </c>
      <c r="N35" s="198"/>
      <c r="O35" s="199"/>
      <c r="P35" s="96" cm="1">
        <f t="array" ref="P35">myidx(L35,ISBLANK(F35),NOT(ISNUMBER(F35)),F35&lt;=0)</f>
        <v>2</v>
      </c>
      <c r="Q35" s="96" t="s">
        <v>21</v>
      </c>
      <c r="R35" s="185" t="s">
        <v>1218</v>
      </c>
      <c r="S35" s="22" t="s">
        <v>23</v>
      </c>
      <c r="T35" s="22" t="s">
        <v>654</v>
      </c>
    </row>
    <row r="36" spans="2:22" s="181" customFormat="1" ht="30" customHeight="1" thickBot="1">
      <c r="B36" s="201" t="s">
        <v>959</v>
      </c>
      <c r="C36" s="634" t="s">
        <v>302</v>
      </c>
      <c r="D36" s="626" t="s">
        <v>295</v>
      </c>
      <c r="E36" s="627"/>
      <c r="F36" s="207"/>
      <c r="G36" s="407" t="str" cm="1">
        <f t="array" ref="G36">IF(P36&gt;0,INDEX(Q36:S36,1,P36),"")</f>
        <v>Vyberte dveřní výplň, kterou hodláte měnit. Pokud měníte více typů výplní, zvolte tu , která odpovídá největší ploše měněných výplní.</v>
      </c>
      <c r="H36" s="198"/>
      <c r="I36" s="199" t="b">
        <f t="shared" ca="1" si="12"/>
        <v>0</v>
      </c>
      <c r="J36" s="96" t="str">
        <f t="shared" ref="J36" ca="1" si="21">IF(AND(I36,L36),F36,"")</f>
        <v/>
      </c>
      <c r="K36" s="198">
        <f t="shared" si="11"/>
        <v>36</v>
      </c>
      <c r="L36" s="96" t="b">
        <f>AND(NOT(ISBLANK(F36)),Budova!K20&gt;0)</f>
        <v>0</v>
      </c>
      <c r="M36" s="198" t="b">
        <f ca="1">AND(M34,L36)</f>
        <v>0</v>
      </c>
      <c r="N36" s="198"/>
      <c r="O36" s="199"/>
      <c r="P36" s="96" cm="1">
        <f t="array" ref="P36">myidx(L36,ISBLANK(F36),Budova!K20&lt;=0)</f>
        <v>2</v>
      </c>
      <c r="Q36" s="96" t="s">
        <v>21</v>
      </c>
      <c r="R36" s="185" t="s">
        <v>303</v>
      </c>
      <c r="S36" s="22" t="s">
        <v>1207</v>
      </c>
      <c r="T36" s="22"/>
    </row>
    <row r="37" spans="2:22" s="181" customFormat="1" ht="30" customHeight="1" thickBot="1">
      <c r="B37" s="201" t="s">
        <v>1219</v>
      </c>
      <c r="C37" s="635"/>
      <c r="D37" s="232" t="s">
        <v>1208</v>
      </c>
      <c r="E37" s="232" t="s">
        <v>1209</v>
      </c>
      <c r="F37" s="203"/>
      <c r="G37" s="406" t="str" cm="1">
        <f t="array" ref="G37">IFERROR(INDEX(Q37:U37,1,P37),"")</f>
        <v>Zadejte celkovou plochu dveří nebo vrat.</v>
      </c>
      <c r="H37" s="198"/>
      <c r="I37" s="199" t="b">
        <f t="shared" ca="1" si="12"/>
        <v>0</v>
      </c>
      <c r="J37" s="145">
        <f t="shared" ref="J37" ca="1" si="22">I37*L37*F37</f>
        <v>0</v>
      </c>
      <c r="K37" s="198">
        <f t="shared" si="11"/>
        <v>37</v>
      </c>
      <c r="L37" s="198" t="b">
        <f>AND(ISNUMBER(F37),IF(ISNUMBER(F37),F37&gt;0,FALSE))</f>
        <v>0</v>
      </c>
      <c r="M37" s="198" t="b">
        <f t="shared" ref="M37" ca="1" si="23">AND(M36,L37)</f>
        <v>0</v>
      </c>
      <c r="N37" s="198"/>
      <c r="O37" s="199"/>
      <c r="P37" s="96" cm="1">
        <f t="array" ref="P37">myidx(L37,ISBLANK(F37),NOT(ISNUMBER(F37)),F37&lt;=0)</f>
        <v>2</v>
      </c>
      <c r="Q37" s="96" t="s">
        <v>21</v>
      </c>
      <c r="R37" s="185" t="s">
        <v>1220</v>
      </c>
      <c r="S37" s="22" t="s">
        <v>23</v>
      </c>
      <c r="T37" s="22" t="s">
        <v>654</v>
      </c>
    </row>
    <row r="38" spans="2:22" s="181" customFormat="1" ht="30" customHeight="1" thickBot="1">
      <c r="B38" s="201" t="s">
        <v>960</v>
      </c>
      <c r="C38" s="634" t="s">
        <v>304</v>
      </c>
      <c r="D38" s="626" t="s">
        <v>295</v>
      </c>
      <c r="E38" s="627"/>
      <c r="F38" s="207"/>
      <c r="G38" s="407" t="str" cm="1">
        <f t="array" ref="G38">IF(P38&gt;0,INDEX(Q38:S38,1,P38),"")</f>
        <v>Pokud v budově nejsou střešní okna ani světlíky, nevybírejte nic a pokračujte vyplněním tabulky č. 4</v>
      </c>
      <c r="H38" s="198"/>
      <c r="I38" s="199" t="b">
        <f t="shared" ca="1" si="12"/>
        <v>0</v>
      </c>
      <c r="J38" s="96" t="str">
        <f t="shared" ref="J38" ca="1" si="24">IF(AND(I38,L38),F38,"")</f>
        <v/>
      </c>
      <c r="K38" s="198">
        <f>IF(L38,IF(ISBLANK(F38),ROW(F42),ROW(F39)),ROW())</f>
        <v>38</v>
      </c>
      <c r="L38" s="96" t="b">
        <f>AND(NOT(ISBLANK(F38)),Budova!K21&gt;0)</f>
        <v>0</v>
      </c>
      <c r="M38" s="198" t="b">
        <f ca="1">M36</f>
        <v>0</v>
      </c>
      <c r="N38" s="198"/>
      <c r="O38" s="199"/>
      <c r="P38" s="96" cm="1">
        <f t="array" ref="P38">myidx(L38,ISBLANK(F38),Budova!K21&lt;=0)</f>
        <v>2</v>
      </c>
      <c r="Q38" s="96" t="s">
        <v>21</v>
      </c>
      <c r="R38" s="185" t="s">
        <v>305</v>
      </c>
      <c r="S38" s="22" t="s">
        <v>1207</v>
      </c>
      <c r="T38" s="22"/>
    </row>
    <row r="39" spans="2:22" s="181" customFormat="1" ht="30" customHeight="1" thickBot="1">
      <c r="B39" s="201" t="s">
        <v>1221</v>
      </c>
      <c r="C39" s="635"/>
      <c r="D39" s="232" t="s">
        <v>1208</v>
      </c>
      <c r="E39" s="232" t="s">
        <v>1209</v>
      </c>
      <c r="F39" s="203"/>
      <c r="G39" s="406" t="str" cm="1">
        <f t="array" ref="G39">IFERROR(INDEX(Q39:U39,1,P39),"")</f>
        <v>Zadejte celkovou plochu střešních oken nebo světlíků.</v>
      </c>
      <c r="H39" s="198"/>
      <c r="I39" s="199" t="b">
        <f ca="1">AND(NOT(ISBLANK(F38)),I38,M38)</f>
        <v>0</v>
      </c>
      <c r="J39" s="145">
        <f t="shared" ref="J39" ca="1" si="25">I39*L39*F39</f>
        <v>0</v>
      </c>
      <c r="K39" s="198">
        <f>IF(L39,ROW(F42),ROW())</f>
        <v>39</v>
      </c>
      <c r="L39" s="198" t="b">
        <f>AND(ISNUMBER(F39),IF(ISNUMBER(F39),F39&gt;0,FALSE))</f>
        <v>0</v>
      </c>
      <c r="M39" s="198" t="b">
        <f ca="1">AND(M38,OR(L39,ISBLANK(F38)))</f>
        <v>0</v>
      </c>
      <c r="N39" s="198"/>
      <c r="O39" s="199"/>
      <c r="P39" s="96" cm="1">
        <f t="array" ref="P39">myidx(L39,ISBLANK(F39),NOT(ISNUMBER(F39)),F39&lt;=0)</f>
        <v>2</v>
      </c>
      <c r="Q39" s="96" t="s">
        <v>21</v>
      </c>
      <c r="R39" s="185" t="s">
        <v>1222</v>
      </c>
      <c r="S39" s="22" t="s">
        <v>23</v>
      </c>
      <c r="T39" s="22" t="s">
        <v>654</v>
      </c>
    </row>
    <row r="40" spans="2:22" s="181" customFormat="1" ht="15.75" thickBot="1">
      <c r="B40" s="210"/>
      <c r="C40" s="211"/>
      <c r="D40" s="212"/>
      <c r="E40" s="212"/>
      <c r="F40" s="213"/>
      <c r="G40" s="198"/>
      <c r="H40" s="198"/>
      <c r="I40" s="199" t="b">
        <f ca="1">I38</f>
        <v>0</v>
      </c>
      <c r="J40" s="185"/>
      <c r="K40" s="198"/>
      <c r="L40" s="198"/>
      <c r="M40" s="198"/>
      <c r="N40" s="198"/>
      <c r="O40" s="199"/>
      <c r="P40" s="199"/>
      <c r="Q40" s="322"/>
      <c r="R40" s="22"/>
      <c r="S40" s="22"/>
      <c r="T40" s="22"/>
    </row>
    <row r="41" spans="2:22" ht="30" customHeight="1" thickBot="1">
      <c r="B41" s="46" t="s">
        <v>306</v>
      </c>
      <c r="C41" s="21" t="s">
        <v>307</v>
      </c>
      <c r="D41" s="221"/>
      <c r="E41" s="221"/>
      <c r="F41" s="222"/>
      <c r="G41" s="410" t="s">
        <v>308</v>
      </c>
      <c r="H41" s="321"/>
      <c r="I41" s="411" t="b">
        <f ca="1">I38</f>
        <v>0</v>
      </c>
      <c r="J41" s="185"/>
      <c r="K41" s="198"/>
      <c r="L41" s="198"/>
      <c r="M41" s="198"/>
      <c r="N41" s="198"/>
    </row>
    <row r="42" spans="2:22" ht="27.75" customHeight="1" thickBot="1">
      <c r="B42" s="223" t="s">
        <v>309</v>
      </c>
      <c r="C42" s="224" t="s">
        <v>310</v>
      </c>
      <c r="D42" s="626" t="s">
        <v>11</v>
      </c>
      <c r="E42" s="627"/>
      <c r="F42" s="207"/>
      <c r="G42" s="407" t="str" cm="1">
        <f t="array" ref="G42">IFERROR(INDEX(Q42:S42,1,P42),"")</f>
        <v>Vyberte ano nebo ne.</v>
      </c>
      <c r="H42" s="198"/>
      <c r="I42" s="199" t="b">
        <f ca="1">I38</f>
        <v>0</v>
      </c>
      <c r="J42" s="96" t="b">
        <f ca="1">IF(AND(I42,L42,je_zateplení),F42=ano,FALSE)</f>
        <v>0</v>
      </c>
      <c r="K42" s="198">
        <f>IF(L42,IF(F42=ano,ROW(F43),ROW(F50)),ROW())</f>
        <v>42</v>
      </c>
      <c r="L42" s="145" t="b">
        <f>OR(F42=ano,F42=ne)</f>
        <v>0</v>
      </c>
      <c r="M42" s="35" t="b">
        <f ca="1">OR($F$42=ne,AND(M38,L42))</f>
        <v>0</v>
      </c>
      <c r="P42" s="145" cm="1">
        <f t="array" ref="P42">myidx(L42,ISBLANK(F42))</f>
        <v>2</v>
      </c>
      <c r="Q42" s="96" t="s">
        <v>21</v>
      </c>
      <c r="R42" s="96" t="s">
        <v>217</v>
      </c>
      <c r="S42" s="96"/>
      <c r="T42" s="35"/>
      <c r="U42" s="187"/>
    </row>
    <row r="43" spans="2:22" ht="30" customHeight="1" thickBot="1">
      <c r="B43" s="225" t="s">
        <v>311</v>
      </c>
      <c r="C43" s="226"/>
      <c r="D43" s="626" t="s">
        <v>312</v>
      </c>
      <c r="E43" s="627"/>
      <c r="F43" s="207"/>
      <c r="G43" s="407" t="str" cm="1">
        <f t="array" ref="G43">IFERROR(INDEX(Q43:S43,1,P43),"")</f>
        <v>Vyberte typ zateplení, které nejlépe charakterizuje vámi realizované. V případě realizace více typů, uveďte ten s největší plochou.</v>
      </c>
      <c r="H43" s="198"/>
      <c r="I43" s="199" t="b">
        <f ca="1">AND(I42,M42,$J$42)</f>
        <v>0</v>
      </c>
      <c r="J43" s="96" t="str">
        <f ca="1">IF(AND(I43,L43),F43,"")</f>
        <v/>
      </c>
      <c r="K43" s="198">
        <f t="shared" ref="K43:K44" si="26">IF(L43,ROW(F44),ROW())</f>
        <v>43</v>
      </c>
      <c r="L43" s="198" t="b">
        <f>NOT(ISBLANK(F43))</f>
        <v>0</v>
      </c>
      <c r="M43" s="198" t="b">
        <f ca="1">OR($F$42=ne,AND(M42,L43))</f>
        <v>0</v>
      </c>
      <c r="P43" s="96" cm="1">
        <f t="array" ref="P43">myidx(L43,ISBLANK(F43))</f>
        <v>2</v>
      </c>
      <c r="Q43" s="96" t="s">
        <v>21</v>
      </c>
      <c r="R43" s="185" t="s">
        <v>313</v>
      </c>
      <c r="S43" s="35"/>
      <c r="T43" s="35"/>
      <c r="U43" s="187"/>
    </row>
    <row r="44" spans="2:22" ht="30" customHeight="1" thickBot="1">
      <c r="B44" s="225" t="s">
        <v>314</v>
      </c>
      <c r="C44" s="227"/>
      <c r="D44" s="626" t="s">
        <v>315</v>
      </c>
      <c r="E44" s="627"/>
      <c r="F44" s="207"/>
      <c r="G44" s="406" t="str" cm="1">
        <f t="array" ref="G44">IFERROR(INDEX(Q44:U44,1,P44),"")</f>
        <v>Zadejte tloušťku izolace v mm.</v>
      </c>
      <c r="H44" s="198"/>
      <c r="I44" s="199" t="b">
        <f ca="1">AND(I43,M43,$J$42)</f>
        <v>0</v>
      </c>
      <c r="J44" s="145">
        <f t="shared" ref="J44:J46" ca="1" si="27">I44*L44*F44</f>
        <v>0</v>
      </c>
      <c r="K44" s="198">
        <f t="shared" si="26"/>
        <v>44</v>
      </c>
      <c r="L44" s="198" t="b">
        <f>AND(ISNUMBER(F44),IF(ISNUMBER(F44),AND(F44&gt;0,F44&lt;=MaxTlIzol),FALSE))</f>
        <v>0</v>
      </c>
      <c r="M44" s="198" t="b">
        <f ca="1">OR($F$42=ne,AND(M43,L44))</f>
        <v>0</v>
      </c>
      <c r="P44" s="96" cm="1">
        <f t="array" ref="P44">myidx(L44,ISBLANK(F44),NOT(ISNUMBER(F44)),F44&lt;=0,F44&gt;MaxTlIzol)</f>
        <v>2</v>
      </c>
      <c r="Q44" s="96" t="s">
        <v>21</v>
      </c>
      <c r="R44" s="185" t="s">
        <v>668</v>
      </c>
      <c r="S44" s="35" t="s">
        <v>23</v>
      </c>
      <c r="T44" s="35" t="s">
        <v>106</v>
      </c>
      <c r="U44" s="35" t="str">
        <f>"Obvyklá tloušťka izolace je do " &amp; MaxTlIzol &amp; " mm."</f>
        <v>Obvyklá tloušťka izolace je do 500 mm.</v>
      </c>
    </row>
    <row r="45" spans="2:22" ht="30" customHeight="1" thickBot="1">
      <c r="B45" s="225" t="s">
        <v>316</v>
      </c>
      <c r="C45" s="227"/>
      <c r="D45" s="626" t="s">
        <v>317</v>
      </c>
      <c r="E45" s="627"/>
      <c r="F45" s="207"/>
      <c r="G45" s="406" t="str" cm="1">
        <f t="array" ref="G45">IFERROR(INDEX(Q45:V45,1,P45),"")</f>
        <v>Zadejte plochu.</v>
      </c>
      <c r="H45" s="198"/>
      <c r="I45" s="199" t="b">
        <f ca="1">AND(I44,M44,$J$42)</f>
        <v>0</v>
      </c>
      <c r="J45" s="145">
        <f t="shared" ca="1" si="27"/>
        <v>0</v>
      </c>
      <c r="K45" s="198">
        <f>IF(L45,IF(JePENB,ROW(F46),ROW(F50)),ROW())</f>
        <v>45</v>
      </c>
      <c r="L45" s="198" t="b">
        <f>AND(ISNUMBER(F45),IF(ISNUMBER(F45),AND(F45&gt;0,F45&lt;=F27),FALSE))</f>
        <v>0</v>
      </c>
      <c r="M45" s="198" t="b">
        <f ca="1">OR($F$42=ne,AND(M44,L45))</f>
        <v>0</v>
      </c>
      <c r="P45" s="96" cm="1">
        <f t="array" ref="P45">myidx(L45,ISBLANK(F45),NOT(ISNUMBER(F45)),F45&lt;=0,F45&gt;F27)</f>
        <v>2</v>
      </c>
      <c r="Q45" s="96" t="s">
        <v>21</v>
      </c>
      <c r="R45" s="185" t="s">
        <v>666</v>
      </c>
      <c r="S45" s="35" t="s">
        <v>23</v>
      </c>
      <c r="T45" s="35" t="s">
        <v>106</v>
      </c>
      <c r="U45" s="22" t="s">
        <v>1226</v>
      </c>
      <c r="V45" s="22"/>
    </row>
    <row r="46" spans="2:22" ht="42" customHeight="1" thickBot="1">
      <c r="B46" s="225" t="s">
        <v>318</v>
      </c>
      <c r="C46" s="227"/>
      <c r="D46" s="626" t="s">
        <v>319</v>
      </c>
      <c r="E46" s="627"/>
      <c r="F46" s="207"/>
      <c r="G46" s="406" t="str" cm="1">
        <f t="array" aca="1" ref="G46" ca="1">IFERROR(INDEX(Q46:T46,1,P46),"")</f>
        <v>Zadejte hodnotu z Průkazu energetické náročnosti po realizaci projektu z tabulky a.1) požadavky na součinitel prostupu tepla - Vypočtená hodnota Uj.</v>
      </c>
      <c r="H46" s="198"/>
      <c r="I46" s="199" t="b">
        <f ca="1">AND(I45,M45,$J$42,JePENB)</f>
        <v>0</v>
      </c>
      <c r="J46" s="145">
        <f t="shared" ca="1" si="27"/>
        <v>0</v>
      </c>
      <c r="K46" s="198">
        <f ca="1">IF(L46,ROW(F50),ROW())</f>
        <v>46</v>
      </c>
      <c r="L46" s="198" t="b">
        <f ca="1">OR(AND(M45,NOT(JePENB)),AND(ISNUMBER(F46),IF(ISNUMBER(F46),AND(F46&gt;MinUPENB,F46&lt;=MaxUPENB),FALSE)))</f>
        <v>0</v>
      </c>
      <c r="M46" s="198" t="b">
        <f ca="1">OR($F$42=ne,AND(M45,L46))</f>
        <v>0</v>
      </c>
      <c r="P46" s="96" cm="1">
        <f t="array" aca="1" ref="P46" ca="1">myidx(L46,ISBLANK(F46),NOT(ISNUMBER(F46)),OR(F46&lt;=MinUPENB,F46&gt;MaxUPENB))</f>
        <v>2</v>
      </c>
      <c r="Q46" s="96" t="s">
        <v>21</v>
      </c>
      <c r="R46" s="185" t="s">
        <v>667</v>
      </c>
      <c r="S46" s="35" t="s">
        <v>23</v>
      </c>
      <c r="T46" s="35" t="str">
        <f>"Hodnota musí být větší než " &amp; MinUPENB &amp; " menší nebo rovna " &amp; MaxUPENB &amp; "."</f>
        <v>Hodnota musí být větší než 0 menší nebo rovna 7.</v>
      </c>
      <c r="U46" s="187"/>
    </row>
    <row r="47" spans="2:22" ht="30" customHeight="1" thickBot="1">
      <c r="B47" s="225" t="s">
        <v>321</v>
      </c>
      <c r="C47" s="227"/>
      <c r="D47" s="626" t="s">
        <v>1172</v>
      </c>
      <c r="E47" s="627"/>
      <c r="F47" s="228" t="str">
        <f>IF(ISBLANK(F44),"",Parametry!D8)</f>
        <v/>
      </c>
      <c r="G47" s="198"/>
      <c r="H47" s="198"/>
      <c r="I47" s="199" t="b">
        <f ca="1">AND(J42,M46,NOT(JePENB))</f>
        <v>0</v>
      </c>
      <c r="J47" s="239"/>
      <c r="K47" s="198"/>
      <c r="L47" s="198"/>
      <c r="M47" s="35"/>
      <c r="Q47" s="96"/>
      <c r="R47" s="35"/>
      <c r="S47" s="35"/>
      <c r="T47" s="35"/>
      <c r="U47" s="187"/>
    </row>
    <row r="48" spans="2:22" ht="30" customHeight="1" thickBot="1">
      <c r="B48" s="225" t="s">
        <v>323</v>
      </c>
      <c r="C48" s="227"/>
      <c r="D48" s="626" t="s">
        <v>1173</v>
      </c>
      <c r="E48" s="627" t="e">
        <v>#N/A</v>
      </c>
      <c r="F48" s="220" t="str">
        <f>IF(ISBLANK(F44),"",Parametry!G8)</f>
        <v/>
      </c>
      <c r="G48" s="198" t="s">
        <v>325</v>
      </c>
      <c r="H48" s="198"/>
      <c r="I48" s="199" t="b">
        <f ca="1">AND(J42,M46)</f>
        <v>0</v>
      </c>
      <c r="K48" s="198"/>
      <c r="L48" s="198"/>
      <c r="M48" s="35"/>
      <c r="Q48" s="96"/>
      <c r="R48" s="35"/>
      <c r="S48" s="35"/>
      <c r="T48" s="35"/>
      <c r="U48" s="187"/>
    </row>
    <row r="49" spans="2:22" ht="30" customHeight="1" thickBot="1">
      <c r="B49" s="230" t="s">
        <v>326</v>
      </c>
      <c r="C49" s="227"/>
      <c r="D49" s="626" t="s">
        <v>327</v>
      </c>
      <c r="E49" s="627"/>
      <c r="F49" s="220" t="str">
        <f>IF(N49,O49,"Zateplení obvodových stěn splňuje požadavky programu.")</f>
        <v>Zateplení obvodových stěn splňuje požadavky programu.</v>
      </c>
      <c r="G49" s="198"/>
      <c r="H49" s="198"/>
      <c r="I49" s="199" t="b">
        <f ca="1">AND(J42,M46)</f>
        <v>0</v>
      </c>
      <c r="J49" s="35" t="str">
        <f>IF(JePENB,J46,F47)</f>
        <v/>
      </c>
      <c r="K49" s="198"/>
      <c r="L49" s="198"/>
      <c r="M49" s="35"/>
      <c r="N49" s="199" t="b">
        <f>IFERROR(AND(F42=ano,J49&gt;F48),FALSE)</f>
        <v>0</v>
      </c>
      <c r="O49" s="35" t="s">
        <v>883</v>
      </c>
      <c r="Q49" s="96"/>
      <c r="R49" s="35"/>
      <c r="S49" s="35"/>
      <c r="T49" s="35"/>
      <c r="U49" s="187"/>
    </row>
    <row r="50" spans="2:22" ht="30" customHeight="1" thickBot="1">
      <c r="B50" s="223" t="s">
        <v>328</v>
      </c>
      <c r="C50" s="224" t="s">
        <v>329</v>
      </c>
      <c r="D50" s="626" t="s">
        <v>11</v>
      </c>
      <c r="E50" s="627"/>
      <c r="F50" s="207"/>
      <c r="G50" s="407" t="str" cm="1">
        <f t="array" ref="G50">IFERROR(INDEX(Q50:S50,1,P50),"")</f>
        <v>Vyberte ano nebo ne.</v>
      </c>
      <c r="H50" s="198"/>
      <c r="I50" s="199" t="b">
        <f ca="1">OR(AND(F42=ne,I42),AND(JePENB,I46,M46),AND(NOT(JePENB),I45,M45))</f>
        <v>0</v>
      </c>
      <c r="J50" s="96" t="b">
        <f ca="1">IF(AND(I50,L50,je_zateplení),F50=ano,FALSE)</f>
        <v>0</v>
      </c>
      <c r="K50" s="198">
        <f>IF(L50,IF(F50=ano,ROW(F51),ROW(F58)),ROW())</f>
        <v>50</v>
      </c>
      <c r="L50" s="145" t="b">
        <f>OR(F50=ano,F50=ne)</f>
        <v>0</v>
      </c>
      <c r="M50" s="35" t="b">
        <f ca="1">AND(M46,L50)</f>
        <v>0</v>
      </c>
      <c r="P50" s="145" cm="1">
        <f t="array" ref="P50">myidx(L50,ISBLANK(F50))</f>
        <v>2</v>
      </c>
      <c r="Q50" s="96" t="s">
        <v>21</v>
      </c>
      <c r="R50" s="96" t="s">
        <v>217</v>
      </c>
      <c r="S50" s="96"/>
      <c r="T50" s="35"/>
      <c r="U50" s="187"/>
    </row>
    <row r="51" spans="2:22" ht="30" customHeight="1" thickBot="1">
      <c r="B51" s="225" t="s">
        <v>330</v>
      </c>
      <c r="C51" s="231"/>
      <c r="D51" s="626" t="s">
        <v>312</v>
      </c>
      <c r="E51" s="627"/>
      <c r="F51" s="207"/>
      <c r="G51" s="407" t="str" cm="1">
        <f t="array" ref="G51">IFERROR(INDEX(Q51:S51,1,P51),"")</f>
        <v>Vyberte typ zateplení, které nejlépe charakterizuje vámi realizované.  V případě realizace více typů, uveďte ten s největší plochou.</v>
      </c>
      <c r="H51" s="198"/>
      <c r="I51" s="199" t="b">
        <f ca="1">AND(I50,M50,$J$50)</f>
        <v>0</v>
      </c>
      <c r="J51" s="96" t="str">
        <f ca="1">IF(AND(I51,L51),F51,"")</f>
        <v/>
      </c>
      <c r="K51" s="198">
        <f t="shared" ref="K51:K52" si="28">IF(L51,ROW(F52),ROW())</f>
        <v>51</v>
      </c>
      <c r="L51" s="198" t="b">
        <f>AND(NOT(ISBLANK(F51)),LambdaStřecha&gt;0)</f>
        <v>0</v>
      </c>
      <c r="M51" s="198" t="b">
        <f ca="1">OR($F$50=ne,AND(M50,L51))</f>
        <v>0</v>
      </c>
      <c r="P51" s="145" cm="1">
        <f t="array" ref="P51">myidx(L51,ISBLANK(F51),LambdaStřecha&lt;=0)</f>
        <v>2</v>
      </c>
      <c r="Q51" s="96" t="s">
        <v>21</v>
      </c>
      <c r="R51" s="185" t="s">
        <v>331</v>
      </c>
      <c r="S51" s="35" t="s">
        <v>726</v>
      </c>
      <c r="T51" s="35"/>
      <c r="U51" s="187"/>
    </row>
    <row r="52" spans="2:22" ht="30" customHeight="1" thickBot="1">
      <c r="B52" s="225" t="s">
        <v>332</v>
      </c>
      <c r="C52" s="231"/>
      <c r="D52" s="626" t="s">
        <v>315</v>
      </c>
      <c r="E52" s="627"/>
      <c r="F52" s="207"/>
      <c r="G52" s="406" t="str" cm="1">
        <f t="array" ref="G52">IFERROR(INDEX(Q52:U52,1,P52),"")</f>
        <v>Zadejte tloušťku izolace v mm.</v>
      </c>
      <c r="H52" s="198"/>
      <c r="I52" s="199" t="b">
        <f ca="1">AND(I51,M51,$J$50)</f>
        <v>0</v>
      </c>
      <c r="J52" s="145">
        <f t="shared" ref="J52:J54" ca="1" si="29">I52*L52*F52</f>
        <v>0</v>
      </c>
      <c r="K52" s="198">
        <f t="shared" si="28"/>
        <v>52</v>
      </c>
      <c r="L52" s="198" t="b">
        <f>AND(ISNUMBER(F52),IF(ISNUMBER(F52),AND(F52&gt;0,F52&lt;=MaxTlIzol),FALSE))</f>
        <v>0</v>
      </c>
      <c r="M52" s="198" t="b">
        <f ca="1">OR($F$50=ne,AND(M51,L52))</f>
        <v>0</v>
      </c>
      <c r="P52" s="96" cm="1">
        <f t="array" ref="P52">myidx(L52,ISBLANK(F52),NOT(ISNUMBER(F52)),F52&lt;=0,F52&gt;MaxTlIzol)</f>
        <v>2</v>
      </c>
      <c r="Q52" s="96" t="s">
        <v>21</v>
      </c>
      <c r="R52" s="185" t="s">
        <v>668</v>
      </c>
      <c r="S52" s="35" t="s">
        <v>23</v>
      </c>
      <c r="T52" s="35" t="s">
        <v>106</v>
      </c>
      <c r="U52" s="35" t="str">
        <f>"Obvyklá tloušťka izolace je do " &amp; MaxTlIzol &amp; " mm."</f>
        <v>Obvyklá tloušťka izolace je do 500 mm.</v>
      </c>
    </row>
    <row r="53" spans="2:22" ht="30" customHeight="1" thickBot="1">
      <c r="B53" s="225" t="s">
        <v>333</v>
      </c>
      <c r="C53" s="231"/>
      <c r="D53" s="626" t="s">
        <v>317</v>
      </c>
      <c r="E53" s="627"/>
      <c r="F53" s="207"/>
      <c r="G53" s="406" t="str" cm="1">
        <f t="array" ref="G53">IFERROR(INDEX(Q53:V53,1,P53),"")</f>
        <v>Zadejte plochu zateplované konstrukce.</v>
      </c>
      <c r="H53" s="198"/>
      <c r="I53" s="199" t="b">
        <f ca="1">AND(I52,M52,$J$50)</f>
        <v>0</v>
      </c>
      <c r="J53" s="145">
        <f t="shared" ca="1" si="29"/>
        <v>0</v>
      </c>
      <c r="K53" s="198">
        <f>IF(L53,IF(JePENB,ROW(F54),ROW(F58)),ROW())</f>
        <v>53</v>
      </c>
      <c r="L53" s="198" t="b">
        <f>AND(ISNUMBER(F53),IF(ISNUMBER(F53),AND(F53&gt;0,F53&lt;=F30),FALSE))</f>
        <v>0</v>
      </c>
      <c r="M53" s="198" t="b">
        <f ca="1">OR($F$50=ne,AND(M52,L53))</f>
        <v>0</v>
      </c>
      <c r="P53" s="96" cm="1">
        <f t="array" ref="P53">myidx(L53,ISBLANK(F53),NOT(ISNUMBER(F53)),F53&lt;=0,F53&gt;F328)</f>
        <v>2</v>
      </c>
      <c r="Q53" s="96" t="s">
        <v>21</v>
      </c>
      <c r="R53" s="185" t="s">
        <v>884</v>
      </c>
      <c r="S53" s="35" t="s">
        <v>23</v>
      </c>
      <c r="T53" s="35" t="s">
        <v>106</v>
      </c>
      <c r="U53" s="22" t="s">
        <v>1227</v>
      </c>
      <c r="V53" s="22"/>
    </row>
    <row r="54" spans="2:22" ht="30" customHeight="1" thickBot="1">
      <c r="B54" s="225" t="s">
        <v>334</v>
      </c>
      <c r="C54" s="231"/>
      <c r="D54" s="626" t="s">
        <v>319</v>
      </c>
      <c r="E54" s="627"/>
      <c r="F54" s="207"/>
      <c r="G54" s="406" t="str" cm="1">
        <f t="array" aca="1" ref="G54" ca="1">IFERROR(INDEX(Q54:T54,1,P54),"")</f>
        <v>Zadejte hodnotu z Průkazu energetické náročnosti po realizaci projektu z tabulky a.1) požadavky na součinitel prostupu tepla - Vypočtená hodnota Uj</v>
      </c>
      <c r="H54" s="198"/>
      <c r="I54" s="199" t="b">
        <f ca="1">AND(I53,M53,$J$50,JePENB)</f>
        <v>0</v>
      </c>
      <c r="J54" s="145">
        <f t="shared" ca="1" si="29"/>
        <v>0</v>
      </c>
      <c r="K54" s="198">
        <f ca="1">IF(L54,ROW(F58),ROW())</f>
        <v>54</v>
      </c>
      <c r="L54" s="198" t="b">
        <f ca="1">OR(AND(M53,NOT(JePENB)),AND(ISNUMBER(F54),IF(ISNUMBER(F54),AND(F54&gt;MinUPENB,F54&lt;=MaxUPENB),FALSE)))</f>
        <v>0</v>
      </c>
      <c r="M54" s="198" t="b">
        <f ca="1">OR($F$50=ne,AND(M53,L54))</f>
        <v>0</v>
      </c>
      <c r="P54" s="96" cm="1">
        <f t="array" aca="1" ref="P54" ca="1">myidx(L54,ISBLANK(F54),NOT(ISNUMBER(F54)),OR(F54&lt;=MinUPENB,F54&gt;MaxUPENB))</f>
        <v>2</v>
      </c>
      <c r="Q54" s="96" t="s">
        <v>21</v>
      </c>
      <c r="R54" s="185" t="s">
        <v>320</v>
      </c>
      <c r="S54" s="35" t="s">
        <v>23</v>
      </c>
      <c r="T54" s="35" t="str">
        <f>"Hodnota musí být větší než " &amp; MinUPENB &amp; " menší nebo rovna " &amp; MaxUPENB &amp; "."</f>
        <v>Hodnota musí být větší než 0 menší nebo rovna 7.</v>
      </c>
      <c r="U54" s="187"/>
    </row>
    <row r="55" spans="2:22" ht="30" customHeight="1" thickBot="1">
      <c r="B55" s="225" t="s">
        <v>335</v>
      </c>
      <c r="C55" s="231"/>
      <c r="D55" s="626" t="s">
        <v>322</v>
      </c>
      <c r="E55" s="627"/>
      <c r="F55" s="228" t="str">
        <f>IF(ISBLANK(F52),"",Parametry!D9)</f>
        <v/>
      </c>
      <c r="G55" s="198"/>
      <c r="H55" s="198"/>
      <c r="I55" s="199" t="b">
        <f ca="1">AND(J50,M54,NOT(JePENB))</f>
        <v>0</v>
      </c>
      <c r="J55" s="239"/>
      <c r="K55" s="185"/>
      <c r="L55" s="185"/>
      <c r="M55" s="35"/>
      <c r="Q55" s="96" t="s">
        <v>21</v>
      </c>
      <c r="R55" s="35"/>
      <c r="S55" s="35"/>
      <c r="T55" s="35"/>
      <c r="U55" s="187"/>
    </row>
    <row r="56" spans="2:22" ht="30" customHeight="1" thickBot="1">
      <c r="B56" s="225" t="s">
        <v>336</v>
      </c>
      <c r="C56" s="231"/>
      <c r="D56" s="232" t="s">
        <v>324</v>
      </c>
      <c r="E56" s="200" t="str">
        <f>Parametry!H9</f>
        <v>Upož,20*e1</v>
      </c>
      <c r="F56" s="228" t="str">
        <f>IF(ISBLANK(F52),"",Parametry!G9)</f>
        <v/>
      </c>
      <c r="G56" s="198" t="s">
        <v>325</v>
      </c>
      <c r="H56" s="198"/>
      <c r="I56" s="199" t="b">
        <f ca="1">AND(J50,M54)</f>
        <v>0</v>
      </c>
      <c r="K56" s="185"/>
      <c r="L56" s="185"/>
      <c r="M56" s="35"/>
      <c r="Q56" s="96"/>
      <c r="R56" s="35"/>
      <c r="S56" s="35"/>
      <c r="T56" s="35"/>
      <c r="U56" s="187"/>
    </row>
    <row r="57" spans="2:22" ht="30" customHeight="1" thickBot="1">
      <c r="B57" s="230" t="s">
        <v>337</v>
      </c>
      <c r="C57" s="233"/>
      <c r="D57" s="626" t="s">
        <v>327</v>
      </c>
      <c r="E57" s="627"/>
      <c r="F57" s="220" t="str">
        <f>IF(N57,O57,"Zateplení střechy splňuje požadavky programu.")</f>
        <v>Zateplení střechy splňuje požadavky programu.</v>
      </c>
      <c r="G57" s="198" t="str">
        <f>IF(F57="Konstrukce nesplňuje požadavky programu","Pozn. Upravte tloušťku nebo typ zateplení nebo součinitel prostupu tepla konstrukce","")</f>
        <v/>
      </c>
      <c r="H57" s="198"/>
      <c r="I57" s="199" t="b">
        <f ca="1">AND(J50,M54)</f>
        <v>0</v>
      </c>
      <c r="J57" s="35" t="str">
        <f>IF(JePENB,J54,F55)</f>
        <v/>
      </c>
      <c r="K57" s="185"/>
      <c r="L57" s="185"/>
      <c r="M57" s="35"/>
      <c r="N57" s="199" t="b">
        <f>IFERROR(AND(F50=ano,J57&gt;F56),FALSE)</f>
        <v>0</v>
      </c>
      <c r="O57" s="35" t="s">
        <v>885</v>
      </c>
      <c r="Q57" s="96"/>
      <c r="R57" s="35"/>
      <c r="S57" s="35"/>
      <c r="T57" s="35"/>
      <c r="U57" s="187"/>
    </row>
    <row r="58" spans="2:22" ht="30" customHeight="1" thickBot="1">
      <c r="B58" s="223" t="s">
        <v>338</v>
      </c>
      <c r="C58" s="224" t="s">
        <v>339</v>
      </c>
      <c r="D58" s="626" t="s">
        <v>11</v>
      </c>
      <c r="E58" s="627"/>
      <c r="F58" s="207"/>
      <c r="G58" s="407" t="str" cm="1">
        <f t="array" ref="G58">IFERROR(INDEX(Q58:S58,1,P58),"")</f>
        <v>Vyberte ano nebo ne.</v>
      </c>
      <c r="H58" s="198"/>
      <c r="I58" s="199" t="b">
        <f ca="1">OR(AND(F50=ne,I50),AND(JePENB,I54,M54),AND(NOT(JePENB),I53,M53))</f>
        <v>0</v>
      </c>
      <c r="J58" s="96" t="b">
        <f ca="1">IF(AND(I58,L58,je_zateplení),F58=ano,FALSE)</f>
        <v>0</v>
      </c>
      <c r="K58" s="198">
        <f>IF(L58,IF(F58=ano,ROW(F59),ROW(F66)),ROW())</f>
        <v>58</v>
      </c>
      <c r="L58" s="145" t="b">
        <f>OR(F58=ano,F58=ne)</f>
        <v>0</v>
      </c>
      <c r="M58" s="35" t="b">
        <f ca="1">AND(M54,L58)</f>
        <v>0</v>
      </c>
      <c r="P58" s="145" cm="1">
        <f t="array" ref="P58">myidx(L58,ISBLANK(F58))</f>
        <v>2</v>
      </c>
      <c r="Q58" s="96" t="s">
        <v>21</v>
      </c>
      <c r="R58" s="96" t="s">
        <v>217</v>
      </c>
      <c r="S58" s="96"/>
      <c r="T58" s="35"/>
      <c r="U58" s="187"/>
    </row>
    <row r="59" spans="2:22" ht="30" customHeight="1" thickBot="1">
      <c r="B59" s="225" t="s">
        <v>340</v>
      </c>
      <c r="C59" s="231"/>
      <c r="D59" s="626" t="s">
        <v>312</v>
      </c>
      <c r="E59" s="627"/>
      <c r="F59" s="207"/>
      <c r="G59" s="407" t="str" cm="1">
        <f t="array" ref="G59">IFERROR(INDEX(Q59:S59,1,P59),"")</f>
        <v>Vyberte typ zateplení, které nejlépe charakterizuje vámi realizované.  V případě realizace více typů, uveďte ten s největší plochou.</v>
      </c>
      <c r="H59" s="198"/>
      <c r="I59" s="199" t="b">
        <f ca="1">AND(I58,M58,$J$58)</f>
        <v>0</v>
      </c>
      <c r="J59" s="96" t="str">
        <f ca="1">IF(AND(I59,L59),F59,"")</f>
        <v/>
      </c>
      <c r="K59" s="198">
        <f t="shared" ref="K59:K60" si="30">IF(L59,ROW(F60),ROW())</f>
        <v>59</v>
      </c>
      <c r="L59" s="198" t="b">
        <f>AND(NOT(ISBLANK(F59)),LambdaPodlaha&gt;0)</f>
        <v>0</v>
      </c>
      <c r="M59" s="198" t="b">
        <f ca="1">OR($F$58=ne,AND(M58,L59))</f>
        <v>0</v>
      </c>
      <c r="P59" s="145" cm="1">
        <f t="array" ref="P59">myidx(L59,ISBLANK(F59),LambdaPodlaha&lt;=0)</f>
        <v>2</v>
      </c>
      <c r="Q59" s="96" t="s">
        <v>21</v>
      </c>
      <c r="R59" s="185" t="s">
        <v>331</v>
      </c>
      <c r="S59" s="35" t="s">
        <v>727</v>
      </c>
      <c r="T59" s="35"/>
      <c r="U59" s="187"/>
    </row>
    <row r="60" spans="2:22" ht="30" customHeight="1" thickBot="1">
      <c r="B60" s="225" t="s">
        <v>341</v>
      </c>
      <c r="C60" s="231"/>
      <c r="D60" s="626" t="s">
        <v>315</v>
      </c>
      <c r="E60" s="627"/>
      <c r="F60" s="207"/>
      <c r="G60" s="406" t="str" cm="1">
        <f t="array" ref="G60">IFERROR(INDEX(Q60:U60,1,P60),"")</f>
        <v>Zadejte tloušťku izolace v mm.</v>
      </c>
      <c r="H60" s="198"/>
      <c r="I60" s="199" t="b">
        <f ca="1">AND(I59,M59,$J$58)</f>
        <v>0</v>
      </c>
      <c r="J60" s="145">
        <f t="shared" ref="J60:J62" ca="1" si="31">I60*L60*F60</f>
        <v>0</v>
      </c>
      <c r="K60" s="198">
        <f t="shared" si="30"/>
        <v>60</v>
      </c>
      <c r="L60" s="198" t="b">
        <f>AND(ISNUMBER(F60),IF(ISNUMBER(F60),AND(F60&gt;0,F60&lt;=MaxTlIzol),FALSE))</f>
        <v>0</v>
      </c>
      <c r="M60" s="198" t="b">
        <f ca="1">OR($F$58=ne,AND(M59,L60))</f>
        <v>0</v>
      </c>
      <c r="P60" s="96" cm="1">
        <f t="array" ref="P60">myidx(L60,ISBLANK(F60),NOT(ISNUMBER(F60)),F60&lt;=0,F60&gt;MaxTlIzol)</f>
        <v>2</v>
      </c>
      <c r="Q60" s="96" t="s">
        <v>21</v>
      </c>
      <c r="R60" s="185" t="s">
        <v>668</v>
      </c>
      <c r="S60" s="35" t="s">
        <v>23</v>
      </c>
      <c r="T60" s="35" t="s">
        <v>106</v>
      </c>
      <c r="U60" s="35" t="str">
        <f>"Obvyklá tloušťka izolace je do " &amp; MaxTlIzol &amp; " mm."</f>
        <v>Obvyklá tloušťka izolace je do 500 mm.</v>
      </c>
    </row>
    <row r="61" spans="2:22" ht="30" customHeight="1" thickBot="1">
      <c r="B61" s="225" t="s">
        <v>342</v>
      </c>
      <c r="C61" s="231"/>
      <c r="D61" s="626" t="s">
        <v>317</v>
      </c>
      <c r="E61" s="627"/>
      <c r="F61" s="207"/>
      <c r="G61" s="406" t="str" cm="1">
        <f t="array" ref="G61">IFERROR(INDEX(Q61:V61,1,P61),"")</f>
        <v>Zadejte plochu zateplované konstrukce.</v>
      </c>
      <c r="H61" s="198"/>
      <c r="I61" s="199" t="b">
        <f ca="1">AND(I60,M60,$J$58)</f>
        <v>0</v>
      </c>
      <c r="J61" s="145">
        <f t="shared" ca="1" si="31"/>
        <v>0</v>
      </c>
      <c r="K61" s="198">
        <f>IF(L61,IF(JePENB,ROW(F62),ROW(F66)),ROW())</f>
        <v>61</v>
      </c>
      <c r="L61" s="198" t="b">
        <f>AND(ISNUMBER(F61),IF(ISNUMBER(F61),AND(F61&gt;0,F61&lt;=F33),FALSE))</f>
        <v>0</v>
      </c>
      <c r="M61" s="198" t="b">
        <f ca="1">OR($F$58=ne,AND(M60,L61))</f>
        <v>0</v>
      </c>
      <c r="P61" s="96" cm="1">
        <f t="array" ref="P61">myidx(L61,ISBLANK(F61),NOT(ISNUMBER(F61)),F61&lt;=0,F61&gt;F33)</f>
        <v>2</v>
      </c>
      <c r="Q61" s="96" t="s">
        <v>21</v>
      </c>
      <c r="R61" s="185" t="s">
        <v>884</v>
      </c>
      <c r="S61" s="35" t="s">
        <v>23</v>
      </c>
      <c r="T61" s="35" t="s">
        <v>106</v>
      </c>
      <c r="U61" s="22" t="s">
        <v>1228</v>
      </c>
    </row>
    <row r="62" spans="2:22" ht="30" customHeight="1" thickBot="1">
      <c r="B62" s="225" t="s">
        <v>343</v>
      </c>
      <c r="C62" s="231"/>
      <c r="D62" s="626" t="s">
        <v>319</v>
      </c>
      <c r="E62" s="627"/>
      <c r="F62" s="234"/>
      <c r="G62" s="406" t="str" cm="1">
        <f t="array" aca="1" ref="G62" ca="1">IFERROR(INDEX(Q62:T62,1,P62),"")</f>
        <v>Zadejte hodnotu z Průkazu energetické náročnosti po realizaci projektu z tabulky a.1) požadavky na součinitel prostupu tepla - Vypočtená hodnota Uj</v>
      </c>
      <c r="H62" s="198"/>
      <c r="I62" s="199" t="b">
        <f ca="1">AND(I61,M61,$J$58,JePENB)</f>
        <v>0</v>
      </c>
      <c r="J62" s="145">
        <f t="shared" ca="1" si="31"/>
        <v>0</v>
      </c>
      <c r="K62" s="198">
        <f ca="1">IF(L62,ROW(F66),ROW())</f>
        <v>62</v>
      </c>
      <c r="L62" s="198" t="b">
        <f ca="1">OR(AND(M61,NOT(JePENB)),AND(ISNUMBER(F62),IF(ISNUMBER(F62),AND(F62&gt;MinUPENB,F62&lt;=MaxUPENB),FALSE)))</f>
        <v>0</v>
      </c>
      <c r="M62" s="198" t="b">
        <f ca="1">OR($F$58=ne,AND(M61,L62))</f>
        <v>0</v>
      </c>
      <c r="P62" s="96" cm="1">
        <f t="array" aca="1" ref="P62" ca="1">myidx(L62,ISBLANK(F62),NOT(ISNUMBER(F62)),OR(F62&lt;=MinUPENB,F62&gt;MaxUPENB))</f>
        <v>2</v>
      </c>
      <c r="Q62" s="96" t="s">
        <v>21</v>
      </c>
      <c r="R62" s="35" t="s">
        <v>344</v>
      </c>
      <c r="S62" s="35" t="s">
        <v>23</v>
      </c>
      <c r="T62" s="35" t="str">
        <f>"Hodnota musí být větší než " &amp; MinUPENB &amp; " menší nebo rovna " &amp; MaxUPENB &amp; "."</f>
        <v>Hodnota musí být větší než 0 menší nebo rovna 7.</v>
      </c>
      <c r="U62" s="187"/>
    </row>
    <row r="63" spans="2:22" ht="30" customHeight="1" thickBot="1">
      <c r="B63" s="225" t="s">
        <v>345</v>
      </c>
      <c r="C63" s="231"/>
      <c r="D63" s="626" t="s">
        <v>322</v>
      </c>
      <c r="E63" s="627"/>
      <c r="F63" s="235" t="str">
        <f>IF(ISBLANK(F60),"",Parametry!D10)</f>
        <v/>
      </c>
      <c r="G63" s="198"/>
      <c r="H63" s="198"/>
      <c r="I63" s="199" t="b">
        <f ca="1">AND(I61,M61,$J$58,NOT(JePENB))</f>
        <v>0</v>
      </c>
      <c r="J63" s="239"/>
      <c r="K63" s="185"/>
      <c r="L63" s="185"/>
      <c r="M63" s="35"/>
      <c r="Q63" s="96" t="s">
        <v>21</v>
      </c>
      <c r="R63" s="35"/>
      <c r="S63" s="35"/>
      <c r="T63" s="35"/>
      <c r="U63" s="187"/>
    </row>
    <row r="64" spans="2:22" ht="30" customHeight="1" thickBot="1">
      <c r="B64" s="225" t="s">
        <v>346</v>
      </c>
      <c r="C64" s="231"/>
      <c r="D64" s="232" t="s">
        <v>347</v>
      </c>
      <c r="E64" s="200" t="str">
        <f>Parametry!H10</f>
        <v>Upož,20*e1</v>
      </c>
      <c r="F64" s="235" t="str">
        <f>IF(ISBLANK(F60),"",Parametry!G10)</f>
        <v/>
      </c>
      <c r="G64" s="198" t="s">
        <v>325</v>
      </c>
      <c r="H64" s="198"/>
      <c r="I64" s="199" t="b">
        <f ca="1">AND(J58,M62)</f>
        <v>0</v>
      </c>
      <c r="K64" s="185"/>
      <c r="L64" s="185"/>
      <c r="M64" s="35"/>
      <c r="Q64" s="96"/>
      <c r="R64" s="35"/>
      <c r="S64" s="35"/>
      <c r="T64" s="35"/>
      <c r="U64" s="187"/>
    </row>
    <row r="65" spans="2:21" ht="30" customHeight="1" thickBot="1">
      <c r="B65" s="230" t="s">
        <v>348</v>
      </c>
      <c r="C65" s="233"/>
      <c r="D65" s="626" t="s">
        <v>327</v>
      </c>
      <c r="E65" s="627"/>
      <c r="F65" s="235" t="str">
        <f>IF(N65,O65,"Zateplení podlahy splňuje požadavky programu.")</f>
        <v>Zateplení podlahy splňuje požadavky programu.</v>
      </c>
      <c r="G65" s="198" t="str">
        <f>IF(F65="Konstrukce nesplňuje požadavky programu","Pozn. Upravte tloušťku nebo typ zateplení nebo součinitel prostupu tepla konstrukce","")</f>
        <v/>
      </c>
      <c r="H65" s="198"/>
      <c r="I65" s="199" t="b">
        <f ca="1">AND(J58,M62)</f>
        <v>0</v>
      </c>
      <c r="J65" s="35" t="str">
        <f>IF(JePENB,J62,F63)</f>
        <v/>
      </c>
      <c r="K65" s="185"/>
      <c r="L65" s="185"/>
      <c r="M65" s="35"/>
      <c r="N65" s="199" t="b">
        <f>IFERROR(AND(F58=ano,J65&gt;F64),FALSE)</f>
        <v>0</v>
      </c>
      <c r="O65" s="35" t="s">
        <v>886</v>
      </c>
      <c r="Q65" s="96"/>
      <c r="R65" s="35"/>
      <c r="S65" s="35"/>
      <c r="T65" s="35"/>
      <c r="U65" s="187"/>
    </row>
    <row r="66" spans="2:21" ht="30" customHeight="1" thickBot="1">
      <c r="B66" s="223" t="s">
        <v>349</v>
      </c>
      <c r="C66" s="224" t="s">
        <v>350</v>
      </c>
      <c r="D66" s="626" t="s">
        <v>11</v>
      </c>
      <c r="E66" s="627"/>
      <c r="F66" s="207"/>
      <c r="G66" s="407" t="str" cm="1">
        <f t="array" ref="G66">IFERROR(INDEX(Q66:S66,1,P66),"")</f>
        <v>Vyberte ano nebo ne.</v>
      </c>
      <c r="H66" s="198"/>
      <c r="I66" s="199" t="b">
        <f ca="1">OR(AND(F58=ne,I58),AND(JePENB,I62,M62),AND(NOT(JePENB),I61,M61))</f>
        <v>0</v>
      </c>
      <c r="J66" s="96" t="b">
        <f ca="1">IF(AND(I66,L66,je_zateplení),F66=ano,FALSE)</f>
        <v>0</v>
      </c>
      <c r="K66" s="198">
        <f>IF(L66,IF(F66=ano,ROW(F67),ROW(F72)),ROW())</f>
        <v>66</v>
      </c>
      <c r="L66" s="145" t="b">
        <f>OR(F66=ano,F66=ne)</f>
        <v>0</v>
      </c>
      <c r="M66" s="35" t="b">
        <f ca="1">AND(M62,L66)</f>
        <v>0</v>
      </c>
      <c r="P66" s="145" cm="1">
        <f t="array" ref="P66">myidx(L66,ISBLANK(F66))</f>
        <v>2</v>
      </c>
      <c r="Q66" s="96" t="s">
        <v>21</v>
      </c>
      <c r="R66" s="96" t="s">
        <v>217</v>
      </c>
      <c r="S66" s="96"/>
      <c r="T66" s="35"/>
      <c r="U66" s="187"/>
    </row>
    <row r="67" spans="2:21" ht="30" customHeight="1" thickBot="1">
      <c r="B67" s="225" t="s">
        <v>351</v>
      </c>
      <c r="C67" s="231"/>
      <c r="D67" s="626" t="s">
        <v>352</v>
      </c>
      <c r="E67" s="627"/>
      <c r="F67" s="207"/>
      <c r="G67" s="407" t="str" cm="1">
        <f t="array" ref="G67">IFERROR(INDEX(Q67:S67,1,P67),"")</f>
        <v>Vyberte typ oken, která nejlépe charakterizují vámi realizované. V případě realizace více typů, uveďte ten s největší plochou</v>
      </c>
      <c r="H67" s="198"/>
      <c r="I67" s="199" t="b">
        <f ca="1">AND(I66,M66,$J$66)</f>
        <v>0</v>
      </c>
      <c r="J67" s="96" t="str">
        <f ca="1">IF(AND(I67,L67),F67,"")</f>
        <v/>
      </c>
      <c r="K67" s="198">
        <f t="shared" ref="K67:K68" si="32">IF(L67,ROW(F68),ROW())</f>
        <v>67</v>
      </c>
      <c r="L67" s="198" t="b">
        <f>NOT(ISBLANK(F67))</f>
        <v>0</v>
      </c>
      <c r="M67" s="198" t="b">
        <f ca="1">OR($F$66=ne,AND(M66,L67))</f>
        <v>0</v>
      </c>
      <c r="P67" s="96" cm="1">
        <f t="array" ref="P67">myidx(L67,ISBLANK(F67))</f>
        <v>2</v>
      </c>
      <c r="Q67" s="96" t="s">
        <v>21</v>
      </c>
      <c r="R67" s="185" t="s">
        <v>353</v>
      </c>
      <c r="S67" s="35"/>
      <c r="T67" s="35"/>
      <c r="U67" s="187"/>
    </row>
    <row r="68" spans="2:21" ht="30" customHeight="1" thickBot="1">
      <c r="B68" s="225" t="s">
        <v>354</v>
      </c>
      <c r="C68" s="231"/>
      <c r="D68" s="626" t="s">
        <v>355</v>
      </c>
      <c r="E68" s="627"/>
      <c r="F68" s="207"/>
      <c r="G68" s="407" t="str" cm="1">
        <f t="array" ref="G68">IFERROR(INDEX(Q68:V68,1,P68),"")</f>
        <v>Zadejte plochu vyměňovaných oken.</v>
      </c>
      <c r="H68" s="198"/>
      <c r="I68" s="199" t="b">
        <f ca="1">AND(I67,M67,$J$66)</f>
        <v>0</v>
      </c>
      <c r="J68" s="145">
        <f t="shared" ref="J68" ca="1" si="33">I68*L68*F68</f>
        <v>0</v>
      </c>
      <c r="K68" s="198">
        <f t="shared" si="32"/>
        <v>68</v>
      </c>
      <c r="L68" s="198" t="b">
        <f>AND(ISNUMBER(F68),IF(ISNUMBER(F68),AND(F68&gt;0,F68&lt;=F35),FALSE))</f>
        <v>0</v>
      </c>
      <c r="M68" s="198" t="b">
        <f ca="1">OR($F$66=ne,AND(M67,L68))</f>
        <v>0</v>
      </c>
      <c r="P68" s="96" cm="1">
        <f t="array" ref="P68">myidx(L68,ISBLANK(F68),NOT(ISNUMBER(F68)),F68&lt;=0,F68&gt;F35)</f>
        <v>2</v>
      </c>
      <c r="Q68" s="96" t="s">
        <v>21</v>
      </c>
      <c r="R68" s="185" t="s">
        <v>940</v>
      </c>
      <c r="S68" s="35" t="s">
        <v>23</v>
      </c>
      <c r="T68" s="35" t="s">
        <v>106</v>
      </c>
      <c r="U68" s="35" t="s">
        <v>1229</v>
      </c>
    </row>
    <row r="69" spans="2:21" ht="30" customHeight="1" thickBot="1">
      <c r="B69" s="225" t="s">
        <v>356</v>
      </c>
      <c r="C69" s="231"/>
      <c r="D69" s="626" t="s">
        <v>357</v>
      </c>
      <c r="E69" s="627"/>
      <c r="F69" s="207"/>
      <c r="G69" s="406" t="str" cm="1">
        <f t="array" aca="1" ref="G69" ca="1">IFERROR(INDEX(Q69:T69,1,P69),"")</f>
        <v>Zadejte součinitel prostupu tepla.</v>
      </c>
      <c r="H69" s="198"/>
      <c r="I69" s="199" t="b">
        <f ca="1">AND(I68,M68,$J$66)</f>
        <v>0</v>
      </c>
      <c r="J69" s="145">
        <f t="shared" ref="J69" ca="1" si="34">I69*L69*F69</f>
        <v>0</v>
      </c>
      <c r="K69" s="198">
        <f ca="1">IF(L69,ROW(F72),ROW())</f>
        <v>69</v>
      </c>
      <c r="L69" s="198" t="b">
        <f ca="1">AND(M68,ISNUMBER(F69),IF(ISNUMBER(F69),AND(F69&gt;MinUPENB,F69&lt;=MaxUPENB),FALSE))</f>
        <v>0</v>
      </c>
      <c r="M69" s="198" t="b">
        <f ca="1">OR($F$66=ne,AND(M68,L69))</f>
        <v>0</v>
      </c>
      <c r="P69" s="96" cm="1">
        <f t="array" aca="1" ref="P69" ca="1">myidx(L69,ISBLANK(F69),NOT(ISNUMBER(F69)),OR(F69&lt;=MinUPENB,F69&gt;MaxUPENB))</f>
        <v>2</v>
      </c>
      <c r="Q69" s="96" t="s">
        <v>21</v>
      </c>
      <c r="R69" s="35" t="s">
        <v>900</v>
      </c>
      <c r="S69" s="35" t="s">
        <v>23</v>
      </c>
      <c r="T69" s="35" t="str">
        <f>"Hodnota musí být větší než " &amp; MinUPENB &amp; " menší nebo rovna " &amp; MaxUPENB &amp; "."</f>
        <v>Hodnota musí být větší než 0 menší nebo rovna 7.</v>
      </c>
      <c r="U69" s="187"/>
    </row>
    <row r="70" spans="2:21" ht="30" customHeight="1" thickBot="1">
      <c r="B70" s="225" t="s">
        <v>358</v>
      </c>
      <c r="C70" s="227"/>
      <c r="D70" s="232" t="s">
        <v>347</v>
      </c>
      <c r="E70" s="200" t="str">
        <f>Parametry!H11</f>
        <v>Upož,20*e1</v>
      </c>
      <c r="F70" s="236" t="str">
        <f>IF(ISBLANK(F69),"",Parametry!G11)</f>
        <v/>
      </c>
      <c r="G70" s="198" t="s">
        <v>325</v>
      </c>
      <c r="H70" s="198"/>
      <c r="I70" s="199" t="b">
        <f ca="1">AND(I69,M69,$J$58)</f>
        <v>0</v>
      </c>
      <c r="K70" s="185"/>
      <c r="L70" s="185"/>
      <c r="M70" s="35"/>
      <c r="Q70" s="96"/>
      <c r="R70" s="35"/>
      <c r="S70" s="35"/>
      <c r="T70" s="35"/>
      <c r="U70" s="187"/>
    </row>
    <row r="71" spans="2:21" ht="30" customHeight="1" thickBot="1">
      <c r="B71" s="230" t="s">
        <v>359</v>
      </c>
      <c r="C71" s="237"/>
      <c r="D71" s="626" t="s">
        <v>327</v>
      </c>
      <c r="E71" s="627"/>
      <c r="F71" s="235" t="str">
        <f ca="1">IF(N71,O71,"Okna splňují požadavky programu.")</f>
        <v>Okna splňují požadavky programu.</v>
      </c>
      <c r="G71" s="198" t="str">
        <f ca="1">IF(F71="Konstrukce nesplňuje požadavky programu","Pozn. Upravte tloušťku nebo typ zateplení nebo součinitel prostupu tepla konstrukce","")</f>
        <v/>
      </c>
      <c r="H71" s="198"/>
      <c r="I71" s="199" t="b">
        <f ca="1">I70</f>
        <v>0</v>
      </c>
      <c r="K71" s="198"/>
      <c r="L71" s="198"/>
      <c r="M71" s="35"/>
      <c r="N71" s="199" t="b">
        <f ca="1">AND(F66=ano,UOken&gt;F70)</f>
        <v>0</v>
      </c>
      <c r="O71" s="35" t="s">
        <v>937</v>
      </c>
      <c r="Q71" s="96"/>
      <c r="R71" s="35"/>
      <c r="S71" s="35"/>
      <c r="T71" s="35"/>
      <c r="U71" s="187"/>
    </row>
    <row r="72" spans="2:21" ht="30" customHeight="1" thickBot="1">
      <c r="B72" s="223" t="s">
        <v>360</v>
      </c>
      <c r="C72" s="224" t="s">
        <v>361</v>
      </c>
      <c r="D72" s="626" t="s">
        <v>11</v>
      </c>
      <c r="E72" s="627"/>
      <c r="F72" s="207"/>
      <c r="G72" s="407" t="str" cm="1">
        <f t="array" ref="G72">IFERROR(INDEX(Q72:S72,1,P72),"")</f>
        <v>Vyberte ano nebo ne.</v>
      </c>
      <c r="H72" s="198"/>
      <c r="I72" s="199" t="b">
        <f ca="1">OR(AND(I66,F66=ne),AND(M69,J66))</f>
        <v>0</v>
      </c>
      <c r="J72" s="96" t="b">
        <f ca="1">IF(AND(I72,L72,je_zateplení),F72=ano,FALSE)</f>
        <v>0</v>
      </c>
      <c r="K72" s="198">
        <f>IF(L72,IF(F72=ano,ROW(F73),ROW(F78)),ROW())</f>
        <v>72</v>
      </c>
      <c r="L72" s="145" t="b">
        <f>OR(F72=ano,F72=ne)</f>
        <v>0</v>
      </c>
      <c r="M72" s="35" t="b">
        <f ca="1">AND(M69,L72)</f>
        <v>0</v>
      </c>
      <c r="P72" s="145" cm="1">
        <f t="array" ref="P72">myidx(L72,ISBLANK(F72))</f>
        <v>2</v>
      </c>
      <c r="Q72" s="96" t="s">
        <v>21</v>
      </c>
      <c r="R72" s="96" t="s">
        <v>217</v>
      </c>
      <c r="S72" s="96"/>
      <c r="T72" s="35"/>
      <c r="U72" s="187"/>
    </row>
    <row r="73" spans="2:21" ht="30" customHeight="1" thickBot="1">
      <c r="B73" s="225" t="s">
        <v>362</v>
      </c>
      <c r="C73" s="231"/>
      <c r="D73" s="626" t="s">
        <v>363</v>
      </c>
      <c r="E73" s="627"/>
      <c r="F73" s="207"/>
      <c r="G73" s="407" t="str" cm="1">
        <f t="array" ref="G73">IFERROR(INDEX(Q73:S73,1,P73),"")</f>
        <v>Vyberte typ dveří, které nejlépe charakterizují vámi realizované. V případě realizace více typů, uveďte ten s největší plochou.</v>
      </c>
      <c r="H73" s="198"/>
      <c r="I73" s="199" t="b">
        <f ca="1">AND(I72,M72,$J$72)</f>
        <v>0</v>
      </c>
      <c r="J73" s="96" t="str">
        <f ca="1">IF(AND(I73,L73),F73,"")</f>
        <v/>
      </c>
      <c r="K73" s="198">
        <f t="shared" ref="K73:K74" si="35">IF(L73,ROW(F74),ROW())</f>
        <v>73</v>
      </c>
      <c r="L73" s="198" t="b">
        <f>NOT(ISBLANK(F73))</f>
        <v>0</v>
      </c>
      <c r="M73" s="198" t="b">
        <f ca="1">OR($F$72=ne,AND(M72,L73))</f>
        <v>0</v>
      </c>
      <c r="P73" s="96" cm="1">
        <f t="array" ref="P73">myidx(L73,ISBLANK(F73))</f>
        <v>2</v>
      </c>
      <c r="Q73" s="96" t="s">
        <v>21</v>
      </c>
      <c r="R73" s="185" t="s">
        <v>364</v>
      </c>
      <c r="S73" s="35"/>
      <c r="T73" s="35"/>
      <c r="U73" s="187"/>
    </row>
    <row r="74" spans="2:21" ht="30" customHeight="1" thickBot="1">
      <c r="B74" s="225" t="s">
        <v>365</v>
      </c>
      <c r="C74" s="231"/>
      <c r="D74" s="626" t="s">
        <v>366</v>
      </c>
      <c r="E74" s="627"/>
      <c r="F74" s="207"/>
      <c r="G74" s="407" t="str" cm="1">
        <f t="array" ref="G74">IFERROR(INDEX(Q74:V74,1,P74),"")</f>
        <v>Zadejte plochu vyměňovaných dveří.</v>
      </c>
      <c r="H74" s="198"/>
      <c r="I74" s="199" t="b">
        <f ca="1">AND(I73,M73,$J$72)</f>
        <v>0</v>
      </c>
      <c r="J74" s="145">
        <f t="shared" ref="J74" ca="1" si="36">I74*L74*F74</f>
        <v>0</v>
      </c>
      <c r="K74" s="198">
        <f t="shared" si="35"/>
        <v>74</v>
      </c>
      <c r="L74" s="198" t="b">
        <f>AND(ISNUMBER(F74),IF(ISNUMBER(F74),AND(F74&gt;0,F74&lt;=F37),FALSE))</f>
        <v>0</v>
      </c>
      <c r="M74" s="198" t="b">
        <f ca="1">OR($F$72=ne,AND(M73,L74))</f>
        <v>0</v>
      </c>
      <c r="P74" s="96" cm="1">
        <f t="array" ref="P74">myidx(L74,ISBLANK(F74),NOT(ISNUMBER(F74)),F74&lt;=0,F74&gt;F37)</f>
        <v>2</v>
      </c>
      <c r="Q74" s="96" t="s">
        <v>21</v>
      </c>
      <c r="R74" s="185" t="s">
        <v>941</v>
      </c>
      <c r="S74" s="35" t="s">
        <v>23</v>
      </c>
      <c r="T74" s="35" t="s">
        <v>106</v>
      </c>
      <c r="U74" s="35" t="s">
        <v>1230</v>
      </c>
    </row>
    <row r="75" spans="2:21" ht="30" customHeight="1" thickBot="1">
      <c r="B75" s="225" t="s">
        <v>367</v>
      </c>
      <c r="C75" s="231"/>
      <c r="D75" s="626" t="s">
        <v>368</v>
      </c>
      <c r="E75" s="627"/>
      <c r="F75" s="207"/>
      <c r="G75" s="406" t="str" cm="1">
        <f t="array" aca="1" ref="G75" ca="1">IFERROR(INDEX(Q75:T75,1,P75),"")</f>
        <v>Zadejte součinitel prostupu tepla.</v>
      </c>
      <c r="H75" s="198"/>
      <c r="I75" s="199" t="b">
        <f ca="1">AND(I74,M74,$J$72)</f>
        <v>0</v>
      </c>
      <c r="J75" s="145">
        <f t="shared" ref="J75" ca="1" si="37">I75*L75*F75</f>
        <v>0</v>
      </c>
      <c r="K75" s="198">
        <f ca="1">IF(L75,ROW(F78),ROW())</f>
        <v>75</v>
      </c>
      <c r="L75" s="198" t="b">
        <f ca="1">AND(M74,ISNUMBER(F75),IF(ISNUMBER(F75),AND(F75&gt;MinUPENB,F75&lt;=MaxUPENB),FALSE))</f>
        <v>0</v>
      </c>
      <c r="M75" s="198" t="b">
        <f ca="1">OR($F$72=ne,AND(M74,L75))</f>
        <v>0</v>
      </c>
      <c r="P75" s="96" cm="1">
        <f t="array" aca="1" ref="P75" ca="1">myidx(L75,ISBLANK(F75),NOT(ISNUMBER(F75)),OR(F75&lt;=MinUPENB,F75&gt;MaxUPENB))</f>
        <v>2</v>
      </c>
      <c r="Q75" s="96" t="s">
        <v>21</v>
      </c>
      <c r="R75" s="35" t="s">
        <v>900</v>
      </c>
      <c r="S75" s="35" t="s">
        <v>23</v>
      </c>
      <c r="T75" s="35" t="str">
        <f>"Hodnota musí být větší než " &amp; MinUPENB &amp; " menší nebo rovna " &amp; MaxUPENB &amp; "."</f>
        <v>Hodnota musí být větší než 0 menší nebo rovna 7.</v>
      </c>
      <c r="U75" s="187"/>
    </row>
    <row r="76" spans="2:21" ht="30" customHeight="1" thickBot="1">
      <c r="B76" s="225" t="s">
        <v>369</v>
      </c>
      <c r="C76" s="227"/>
      <c r="D76" s="232" t="s">
        <v>347</v>
      </c>
      <c r="E76" s="200" t="str">
        <f>Parametry!H12</f>
        <v>Upož,20*e1</v>
      </c>
      <c r="F76" s="236" t="str">
        <f>IF(ISBLANK(F75),"",Parametry!G12)</f>
        <v/>
      </c>
      <c r="G76" s="198" t="s">
        <v>325</v>
      </c>
      <c r="H76" s="198"/>
      <c r="I76" s="199" t="b">
        <f ca="1">AND(I75,M75,$J$72)</f>
        <v>0</v>
      </c>
      <c r="J76" s="185"/>
      <c r="K76" s="185"/>
      <c r="M76" s="35"/>
      <c r="Q76" s="96" t="s">
        <v>21</v>
      </c>
      <c r="R76" s="35"/>
      <c r="S76" s="35"/>
      <c r="T76" s="35"/>
      <c r="U76" s="187"/>
    </row>
    <row r="77" spans="2:21" ht="30" customHeight="1" thickBot="1">
      <c r="B77" s="230" t="s">
        <v>370</v>
      </c>
      <c r="C77" s="237"/>
      <c r="D77" s="626" t="s">
        <v>327</v>
      </c>
      <c r="E77" s="627"/>
      <c r="F77" s="235" t="str">
        <f ca="1">IF(N77,O77,"Dveře/vrata splňují požadavky programu.")</f>
        <v>Dveře/vrata splňují požadavky programu.</v>
      </c>
      <c r="G77" s="198" t="str">
        <f ca="1">IF(F77="Konstrukce nesplňuje požadavky programu","Pozn. Upravte tloušťku nebo typ zateplení nebo součinitel prostupu tepla konstrukce","")</f>
        <v/>
      </c>
      <c r="H77" s="198"/>
      <c r="I77" s="199" t="b">
        <f ca="1">I76</f>
        <v>0</v>
      </c>
      <c r="K77" s="198"/>
      <c r="M77" s="35"/>
      <c r="N77" s="199" t="b">
        <f ca="1">AND(F72=ano,UDveří&gt;F76)</f>
        <v>0</v>
      </c>
      <c r="O77" s="35" t="s">
        <v>938</v>
      </c>
      <c r="Q77" s="96" t="s">
        <v>21</v>
      </c>
      <c r="R77" s="35"/>
      <c r="S77" s="35"/>
      <c r="T77" s="35"/>
      <c r="U77" s="187"/>
    </row>
    <row r="78" spans="2:21" ht="30" customHeight="1" thickBot="1">
      <c r="B78" s="223" t="s">
        <v>371</v>
      </c>
      <c r="C78" s="224" t="s">
        <v>372</v>
      </c>
      <c r="D78" s="626" t="s">
        <v>11</v>
      </c>
      <c r="E78" s="627"/>
      <c r="F78" s="207"/>
      <c r="G78" s="407" t="str" cm="1">
        <f t="array" ref="G78">IFERROR(INDEX(Q78:S78,1,P78),"")</f>
        <v>OK</v>
      </c>
      <c r="H78" s="194"/>
      <c r="I78" s="199" t="b">
        <f ca="1">AND(OR(AND(I72,F72=ne),AND(M75,J72)),NOT(ISBLANK(F38)))</f>
        <v>0</v>
      </c>
      <c r="J78" s="96" t="b">
        <f ca="1">IF(AND(I78,L78,je_zateplení),F78=ano,FALSE)</f>
        <v>0</v>
      </c>
      <c r="K78" s="198">
        <f>IF(L78,IF(F78=ano,ROW(F79),ROW()),ROW())</f>
        <v>78</v>
      </c>
      <c r="L78" s="145" t="b">
        <f>OR(F78=ano,F78=ne,ISBLANK(F38))</f>
        <v>1</v>
      </c>
      <c r="M78" s="198" t="b">
        <f ca="1">AND(M75,L78)</f>
        <v>0</v>
      </c>
      <c r="P78" s="145" cm="1">
        <f t="array" ref="P78">myidx(L78,ISBLANK(F78))</f>
        <v>1</v>
      </c>
      <c r="Q78" s="96" t="s">
        <v>21</v>
      </c>
      <c r="R78" s="96" t="s">
        <v>217</v>
      </c>
      <c r="S78" s="96"/>
      <c r="T78" s="35"/>
      <c r="U78" s="187"/>
    </row>
    <row r="79" spans="2:21" ht="30" customHeight="1" thickBot="1">
      <c r="B79" s="225" t="s">
        <v>373</v>
      </c>
      <c r="C79" s="231"/>
      <c r="D79" s="626" t="s">
        <v>374</v>
      </c>
      <c r="E79" s="627"/>
      <c r="F79" s="207"/>
      <c r="G79" s="407" t="str" cm="1">
        <f t="array" ref="G79">IFERROR(INDEX(Q79:S79,1,P79),"")</f>
        <v>OK</v>
      </c>
      <c r="H79" s="198"/>
      <c r="I79" s="199" t="b">
        <f ca="1">AND(I78,M78,$J$78)</f>
        <v>0</v>
      </c>
      <c r="J79" s="96" t="str">
        <f ca="1">IF(AND(I79,L79),F79,"")</f>
        <v/>
      </c>
      <c r="K79" s="198">
        <f t="shared" ref="K79:K80" si="38">IF(L79,ROW(F80),ROW())</f>
        <v>80</v>
      </c>
      <c r="L79" s="198" t="b">
        <f>OR(ISBLANK(F38),NOT(ISBLANK(F79)))</f>
        <v>1</v>
      </c>
      <c r="M79" s="198" t="b">
        <f ca="1">OR($F$78=ne,AND(M78,L79))</f>
        <v>0</v>
      </c>
      <c r="P79" s="96" cm="1">
        <f t="array" ref="P79">myidx(L79,ISBLANK(F79))</f>
        <v>1</v>
      </c>
      <c r="Q79" s="96" t="s">
        <v>21</v>
      </c>
      <c r="R79" s="185" t="s">
        <v>353</v>
      </c>
      <c r="S79" s="35"/>
      <c r="T79" s="35"/>
      <c r="U79" s="187"/>
    </row>
    <row r="80" spans="2:21" ht="30" customHeight="1" thickBot="1">
      <c r="B80" s="225" t="s">
        <v>375</v>
      </c>
      <c r="C80" s="231"/>
      <c r="D80" s="626" t="s">
        <v>376</v>
      </c>
      <c r="E80" s="627"/>
      <c r="F80" s="207"/>
      <c r="G80" s="407" t="str" cm="1">
        <f t="array" ref="G80">IFERROR(INDEX(Q80:V80,1,P80),"")</f>
        <v>OK</v>
      </c>
      <c r="H80" s="198"/>
      <c r="I80" s="199" t="b">
        <f ca="1">AND(I79,M79,$J$78)</f>
        <v>0</v>
      </c>
      <c r="J80" s="145">
        <f t="shared" ref="J80" ca="1" si="39">I80*L80*F80</f>
        <v>0</v>
      </c>
      <c r="K80" s="198">
        <f t="shared" si="38"/>
        <v>81</v>
      </c>
      <c r="L80" s="198" t="b">
        <f>OR(ISBLANK(F38),AND(ISNUMBER(F80),IF(ISNUMBER(F80),AND(F80&gt;0,F80&lt;=F39),FALSE)))</f>
        <v>1</v>
      </c>
      <c r="M80" s="198" t="b">
        <f ca="1">OR($F$78=ne,AND(M79,L80))</f>
        <v>0</v>
      </c>
      <c r="P80" s="96" cm="1">
        <f t="array" ref="P80">myidx(L80,ISBLANK(F80),NOT(ISNUMBER(F80)),F80&lt;=0,F80&gt;F39)</f>
        <v>1</v>
      </c>
      <c r="Q80" s="96" t="s">
        <v>21</v>
      </c>
      <c r="R80" s="185" t="s">
        <v>941</v>
      </c>
      <c r="S80" s="35" t="s">
        <v>23</v>
      </c>
      <c r="T80" s="35" t="s">
        <v>106</v>
      </c>
      <c r="U80" s="35" t="s">
        <v>1231</v>
      </c>
    </row>
    <row r="81" spans="1:21" ht="30" customHeight="1" thickBot="1">
      <c r="B81" s="225" t="s">
        <v>377</v>
      </c>
      <c r="C81" s="231"/>
      <c r="D81" s="626" t="s">
        <v>378</v>
      </c>
      <c r="E81" s="627"/>
      <c r="F81" s="207"/>
      <c r="G81" s="406" t="str" cm="1">
        <f t="array" aca="1" ref="G81" ca="1">IFERROR(INDEX(Q81:T81,1,P81),"")</f>
        <v>OK</v>
      </c>
      <c r="H81" s="198"/>
      <c r="I81" s="199" t="b">
        <f ca="1">AND(I80,M80,$J$78)</f>
        <v>0</v>
      </c>
      <c r="J81" s="145">
        <f t="shared" ref="J81" ca="1" si="40">I81*L81*F81</f>
        <v>0</v>
      </c>
      <c r="K81" s="198">
        <f>ROW()</f>
        <v>81</v>
      </c>
      <c r="L81" s="198" t="b">
        <f ca="1">OR(ISBLANK(F38),AND(M80,ISNUMBER(F81),IF(ISNUMBER(F81),AND(F81&gt;MinUPENB,F81&lt;=MaxUPENB),FALSE)))</f>
        <v>1</v>
      </c>
      <c r="M81" s="198" t="b">
        <f ca="1">OR($F$78=ne,AND(M80,L81))</f>
        <v>0</v>
      </c>
      <c r="P81" s="96" cm="1">
        <f t="array" aca="1" ref="P81" ca="1">myidx(L81,ISBLANK(F81),NOT(ISNUMBER(F81)),OR(F81&lt;=MinUPENB,F81&gt;MaxUPENB))</f>
        <v>1</v>
      </c>
      <c r="Q81" s="96" t="s">
        <v>21</v>
      </c>
      <c r="R81" s="35" t="s">
        <v>900</v>
      </c>
      <c r="S81" s="35" t="s">
        <v>23</v>
      </c>
      <c r="T81" s="35" t="str">
        <f>"Hodnota musí být větší než " &amp; MinUPENB &amp; " menší nebo rovna " &amp; MaxUPENB &amp; "."</f>
        <v>Hodnota musí být větší než 0 menší nebo rovna 7.</v>
      </c>
      <c r="U81" s="187"/>
    </row>
    <row r="82" spans="1:21" ht="30" customHeight="1" thickBot="1">
      <c r="B82" s="225" t="s">
        <v>379</v>
      </c>
      <c r="C82" s="227"/>
      <c r="D82" s="232" t="s">
        <v>347</v>
      </c>
      <c r="E82" s="200" t="str">
        <f>Parametry!H13</f>
        <v>Upož,20*e1</v>
      </c>
      <c r="F82" s="236" t="str">
        <f>IF(ISBLANK(F81),"",Parametry!G13)</f>
        <v/>
      </c>
      <c r="G82" s="198" t="s">
        <v>325</v>
      </c>
      <c r="H82" s="198"/>
      <c r="I82" s="199" t="b">
        <f ca="1">AND(I81,M81,$J$78)</f>
        <v>0</v>
      </c>
      <c r="K82" s="185"/>
      <c r="L82" s="185"/>
      <c r="M82" s="198"/>
      <c r="Q82" s="96" t="s">
        <v>21</v>
      </c>
      <c r="R82" s="35"/>
      <c r="S82" s="35"/>
      <c r="T82" s="35"/>
      <c r="U82" s="187"/>
    </row>
    <row r="83" spans="1:21" ht="30" customHeight="1" thickBot="1">
      <c r="B83" s="230" t="s">
        <v>380</v>
      </c>
      <c r="C83" s="237"/>
      <c r="D83" s="626" t="s">
        <v>327</v>
      </c>
      <c r="E83" s="627"/>
      <c r="F83" s="235" t="str">
        <f ca="1">IF(N83,O83,"Světlíky/střešní okna splňují požadavky programu.")</f>
        <v>Světlíky/střešní okna splňují požadavky programu.</v>
      </c>
      <c r="G83" s="198" t="str">
        <f ca="1">IF(F83="Konstrukce nesplňuje požadavky programu","Pozn. Upravte tloušťku nebo typ zateplení nebo součinitel prostupu tepla konstrukce","")</f>
        <v/>
      </c>
      <c r="H83" s="198"/>
      <c r="I83" s="199" t="b">
        <f ca="1">I82</f>
        <v>0</v>
      </c>
      <c r="K83" s="185"/>
      <c r="L83" s="185"/>
      <c r="M83" s="198"/>
      <c r="N83" s="199" t="b">
        <f ca="1">AND(F78=ano,USvětlíků&gt;F82)</f>
        <v>0</v>
      </c>
      <c r="O83" s="35" t="s">
        <v>939</v>
      </c>
      <c r="Q83" s="96" t="s">
        <v>21</v>
      </c>
      <c r="R83" s="35"/>
      <c r="S83" s="35"/>
      <c r="T83" s="35"/>
      <c r="U83" s="187"/>
    </row>
    <row r="84" spans="1:21" ht="37.5" customHeight="1" thickBot="1">
      <c r="B84" s="190"/>
      <c r="C84" s="240"/>
      <c r="D84" s="240"/>
      <c r="E84" s="240"/>
      <c r="F84" s="465" t="str">
        <f ca="1">IF(OR(M81,AND(JePENB,Výjimka,M20)),"Konec formuláře","")</f>
        <v/>
      </c>
      <c r="I84" s="199" t="b">
        <v>1</v>
      </c>
      <c r="J84" s="185"/>
      <c r="K84" s="185"/>
      <c r="L84" s="185"/>
      <c r="M84" s="198"/>
      <c r="Q84" s="199"/>
      <c r="R84" s="35"/>
      <c r="S84" s="35"/>
      <c r="T84" s="35"/>
      <c r="U84" s="187"/>
    </row>
    <row r="85" spans="1:21" ht="31.15" customHeight="1" thickBot="1">
      <c r="B85" s="241" t="s">
        <v>384</v>
      </c>
      <c r="C85" s="630" t="s">
        <v>385</v>
      </c>
      <c r="D85" s="631"/>
      <c r="E85" s="631"/>
      <c r="F85" s="631"/>
      <c r="I85" s="199" t="b">
        <f ca="1">AND(OR(ZatepleníStěn,ZatepleníStřechy,ZatepleníPodlahy,VýměnaOken,VýměnaDveří,VýměnaSvětlíků),AND(M46,M54,M62,M69,M75,M81))</f>
        <v>0</v>
      </c>
      <c r="J85" s="185"/>
      <c r="K85" s="185"/>
      <c r="L85" s="185"/>
      <c r="M85" s="198"/>
      <c r="N85" s="198"/>
    </row>
    <row r="86" spans="1:21" ht="31.15" customHeight="1" thickBot="1">
      <c r="B86" s="464"/>
      <c r="C86" s="469" t="s">
        <v>1038</v>
      </c>
      <c r="D86" s="470"/>
      <c r="E86" s="470"/>
      <c r="F86" s="471"/>
      <c r="I86" s="199" t="b">
        <f ca="1">AND(NOT(OR(ZatepleníStěn,ZatepleníStřechy,ZatepleníPodlahy,VýměnaOken,VýměnaDveří,VýměnaSvětlíků)),M81,NOT(Výjimka))</f>
        <v>0</v>
      </c>
      <c r="J86" s="185"/>
      <c r="K86" s="185"/>
      <c r="L86" s="185"/>
      <c r="M86" s="198"/>
      <c r="N86" s="198"/>
    </row>
    <row r="87" spans="1:21" ht="31.15" customHeight="1" thickBot="1">
      <c r="B87" s="464"/>
      <c r="C87" s="469" t="s">
        <v>1157</v>
      </c>
      <c r="D87" s="470"/>
      <c r="E87" s="470"/>
      <c r="F87" s="471"/>
      <c r="I87" s="199" t="b">
        <f>AND(je_zdroj,NOT(Zdroj!L24))</f>
        <v>0</v>
      </c>
      <c r="J87" s="185"/>
      <c r="K87" s="185"/>
      <c r="L87" s="185"/>
      <c r="M87" s="198"/>
      <c r="N87" s="198"/>
    </row>
    <row r="88" spans="1:21" ht="31.15" customHeight="1" thickBot="1">
      <c r="B88" s="243"/>
      <c r="C88" s="472" t="s">
        <v>935</v>
      </c>
      <c r="D88" s="473"/>
      <c r="E88" s="473"/>
      <c r="F88" s="474"/>
      <c r="I88" s="199" t="b">
        <f ca="1">AND(NOT(I90),$I$85)</f>
        <v>0</v>
      </c>
      <c r="J88" s="185"/>
      <c r="K88" s="185"/>
      <c r="L88" s="185"/>
      <c r="M88" s="198"/>
      <c r="N88" s="198"/>
    </row>
    <row r="89" spans="1:21" ht="31.15" customHeight="1" thickBot="1">
      <c r="B89" s="243"/>
      <c r="C89" s="475" t="s">
        <v>1171</v>
      </c>
      <c r="D89" s="476"/>
      <c r="E89" s="476"/>
      <c r="F89" s="477"/>
      <c r="I89" s="199" t="b">
        <f>OR(N18,N20,N21)</f>
        <v>0</v>
      </c>
      <c r="J89" s="185"/>
      <c r="K89" s="185"/>
      <c r="L89" s="185"/>
      <c r="M89" s="198"/>
      <c r="N89" s="198"/>
    </row>
    <row r="90" spans="1:21" ht="31.15" customHeight="1" thickBot="1">
      <c r="B90" s="243"/>
      <c r="C90" s="475" t="s">
        <v>936</v>
      </c>
      <c r="D90" s="476"/>
      <c r="E90" s="476"/>
      <c r="F90" s="477"/>
      <c r="I90" s="199" t="b">
        <f ca="1">AND(OR(N49,N57,N65,N71,N77,N83),$I$85)</f>
        <v>0</v>
      </c>
      <c r="J90" s="185"/>
      <c r="K90" s="185"/>
      <c r="L90" s="185"/>
      <c r="M90" s="198"/>
      <c r="N90" s="198"/>
    </row>
    <row r="91" spans="1:21" s="229" customFormat="1" ht="16.5" customHeight="1" thickBot="1">
      <c r="A91" s="187"/>
      <c r="B91" s="35"/>
      <c r="C91" s="24"/>
      <c r="D91" s="24"/>
      <c r="E91" s="24"/>
      <c r="F91" s="23"/>
      <c r="G91" s="186"/>
      <c r="H91" s="186"/>
      <c r="I91" s="199" t="b">
        <f ca="1">AND(I88,NOT(I87))</f>
        <v>0</v>
      </c>
      <c r="J91" s="35"/>
      <c r="K91" s="199"/>
      <c r="L91" s="199"/>
      <c r="M91" s="199"/>
      <c r="N91" s="199"/>
      <c r="O91" s="199"/>
      <c r="P91" s="199"/>
      <c r="Q91" s="199"/>
      <c r="R91" s="35"/>
      <c r="S91" s="35"/>
      <c r="T91" s="35"/>
      <c r="U91" s="187"/>
    </row>
    <row r="92" spans="1:21" s="244" customFormat="1" ht="33" customHeight="1" thickBot="1">
      <c r="B92" s="241" t="s">
        <v>386</v>
      </c>
      <c r="C92" s="242" t="s">
        <v>1158</v>
      </c>
      <c r="D92" s="245"/>
      <c r="E92" s="245"/>
      <c r="F92" s="246"/>
      <c r="G92" s="247" t="b">
        <f>je_zdroj</f>
        <v>0</v>
      </c>
      <c r="H92" s="247"/>
      <c r="I92" s="199" t="b">
        <f ca="1">I91</f>
        <v>0</v>
      </c>
      <c r="J92" s="35"/>
      <c r="K92" s="199"/>
      <c r="L92" s="199"/>
      <c r="M92" s="199"/>
      <c r="N92" s="199"/>
      <c r="O92" s="199"/>
      <c r="P92" s="199"/>
      <c r="Q92" s="199"/>
      <c r="R92" s="324"/>
      <c r="S92" s="324"/>
      <c r="T92" s="324"/>
    </row>
    <row r="93" spans="1:21" s="244" customFormat="1" ht="16.5" thickBot="1">
      <c r="B93" s="64"/>
      <c r="C93" s="248" t="s">
        <v>174</v>
      </c>
      <c r="D93" s="66"/>
      <c r="E93" s="66"/>
      <c r="F93" s="249"/>
      <c r="G93" s="247"/>
      <c r="H93" s="247"/>
      <c r="I93" s="199" t="b">
        <f t="shared" ref="I93:I104" ca="1" si="41">I92</f>
        <v>0</v>
      </c>
      <c r="J93" s="199"/>
      <c r="K93" s="199"/>
      <c r="L93" s="199"/>
      <c r="M93" s="199"/>
      <c r="N93" s="199"/>
      <c r="O93" s="199"/>
      <c r="P93" s="199"/>
      <c r="Q93" s="199"/>
      <c r="R93" s="324"/>
      <c r="S93" s="324"/>
      <c r="T93" s="324"/>
    </row>
    <row r="94" spans="1:21" s="244" customFormat="1" ht="15.75" thickBot="1">
      <c r="B94" s="250"/>
      <c r="C94" s="251" t="s">
        <v>387</v>
      </c>
      <c r="D94" s="70">
        <f>Bilance!E24</f>
        <v>0</v>
      </c>
      <c r="E94" s="70"/>
      <c r="F94" s="71" t="s">
        <v>176</v>
      </c>
      <c r="G94" s="186"/>
      <c r="H94" s="186"/>
      <c r="I94" s="199" t="b">
        <f t="shared" ca="1" si="41"/>
        <v>0</v>
      </c>
      <c r="J94" s="35"/>
      <c r="K94" s="199"/>
      <c r="L94" s="199"/>
      <c r="M94" s="199"/>
      <c r="N94" s="199"/>
      <c r="O94" s="199"/>
      <c r="P94" s="199"/>
      <c r="Q94" s="199"/>
      <c r="R94" s="324"/>
      <c r="S94" s="324"/>
      <c r="T94" s="324"/>
    </row>
    <row r="95" spans="1:21" s="244" customFormat="1" ht="15.75" thickBot="1">
      <c r="B95" s="250"/>
      <c r="C95" s="251" t="s">
        <v>388</v>
      </c>
      <c r="D95" s="70">
        <f>Bilance!F24</f>
        <v>0</v>
      </c>
      <c r="E95" s="70"/>
      <c r="F95" s="71" t="s">
        <v>176</v>
      </c>
      <c r="G95" s="186"/>
      <c r="H95" s="186"/>
      <c r="I95" s="199" t="b">
        <f t="shared" ca="1" si="41"/>
        <v>0</v>
      </c>
      <c r="J95" s="35"/>
      <c r="K95" s="199"/>
      <c r="L95" s="199"/>
      <c r="M95" s="199"/>
      <c r="N95" s="199"/>
      <c r="O95" s="199"/>
      <c r="P95" s="199"/>
      <c r="Q95" s="199"/>
      <c r="R95" s="324"/>
      <c r="S95" s="324"/>
      <c r="T95" s="324"/>
    </row>
    <row r="96" spans="1:21" s="244" customFormat="1" ht="15.75" thickBot="1">
      <c r="B96" s="250"/>
      <c r="C96" s="251" t="s">
        <v>95</v>
      </c>
      <c r="D96" s="73">
        <f>Bilance!G24</f>
        <v>0</v>
      </c>
      <c r="E96" s="73"/>
      <c r="F96" s="71" t="s">
        <v>176</v>
      </c>
      <c r="G96" s="186"/>
      <c r="H96" s="186"/>
      <c r="I96" s="199" t="b">
        <f t="shared" ca="1" si="41"/>
        <v>0</v>
      </c>
      <c r="J96" s="35"/>
      <c r="K96" s="199"/>
      <c r="L96" s="199"/>
      <c r="M96" s="199"/>
      <c r="N96" s="199"/>
      <c r="O96" s="199"/>
      <c r="P96" s="199"/>
      <c r="Q96" s="199"/>
      <c r="R96" s="324"/>
      <c r="S96" s="324"/>
      <c r="T96" s="324"/>
    </row>
    <row r="97" spans="1:20" s="244" customFormat="1" ht="15.75" thickBot="1">
      <c r="B97" s="250"/>
      <c r="C97" s="251" t="s">
        <v>95</v>
      </c>
      <c r="D97" s="252">
        <f>IFERROR(D96/D94,0)</f>
        <v>0</v>
      </c>
      <c r="E97" s="252"/>
      <c r="F97" s="71" t="s">
        <v>96</v>
      </c>
      <c r="G97" s="186"/>
      <c r="H97" s="186"/>
      <c r="I97" s="199" t="b">
        <f t="shared" ca="1" si="41"/>
        <v>0</v>
      </c>
      <c r="J97" s="35"/>
      <c r="K97" s="199"/>
      <c r="L97" s="199"/>
      <c r="M97" s="199"/>
      <c r="N97" s="199"/>
      <c r="O97" s="199"/>
      <c r="P97" s="199"/>
      <c r="Q97" s="199"/>
      <c r="R97" s="324"/>
      <c r="S97" s="324"/>
      <c r="T97" s="324"/>
    </row>
    <row r="98" spans="1:20" s="244" customFormat="1" ht="24.95" customHeight="1">
      <c r="B98" s="253"/>
      <c r="C98" s="254" t="s">
        <v>179</v>
      </c>
      <c r="D98" s="76">
        <f>Bilance!M24</f>
        <v>0</v>
      </c>
      <c r="E98" s="76"/>
      <c r="F98" s="75" t="s">
        <v>180</v>
      </c>
      <c r="I98" s="199" t="b">
        <f t="shared" ca="1" si="41"/>
        <v>0</v>
      </c>
    </row>
    <row r="99" spans="1:20" s="244" customFormat="1">
      <c r="B99" s="253"/>
      <c r="C99" s="254" t="s">
        <v>389</v>
      </c>
      <c r="D99" s="76">
        <f>Bilance!Y24</f>
        <v>0</v>
      </c>
      <c r="E99" s="76"/>
      <c r="F99" s="75" t="s">
        <v>182</v>
      </c>
      <c r="I99" s="199" t="b">
        <f t="shared" ca="1" si="41"/>
        <v>0</v>
      </c>
    </row>
    <row r="100" spans="1:20" s="244" customFormat="1" ht="24.95" customHeight="1" thickBot="1">
      <c r="B100" s="253"/>
      <c r="C100" s="248" t="s">
        <v>962</v>
      </c>
      <c r="D100" s="76"/>
      <c r="E100" s="76"/>
      <c r="F100" s="75"/>
      <c r="I100" s="199" t="b">
        <f t="shared" ca="1" si="41"/>
        <v>0</v>
      </c>
    </row>
    <row r="101" spans="1:20" s="244" customFormat="1" ht="15.75" thickBot="1">
      <c r="B101" s="253"/>
      <c r="C101" s="251" t="s">
        <v>387</v>
      </c>
      <c r="D101" s="76">
        <f>Bilance!H24</f>
        <v>0</v>
      </c>
      <c r="E101" s="76"/>
      <c r="F101" s="71" t="s">
        <v>176</v>
      </c>
      <c r="I101" s="199" t="b">
        <f t="shared" ca="1" si="41"/>
        <v>0</v>
      </c>
    </row>
    <row r="102" spans="1:20" s="244" customFormat="1" ht="15.75" thickBot="1">
      <c r="B102" s="253"/>
      <c r="C102" s="251" t="s">
        <v>388</v>
      </c>
      <c r="D102" s="76">
        <f>Bilance!I24</f>
        <v>0</v>
      </c>
      <c r="E102" s="76"/>
      <c r="F102" s="71" t="s">
        <v>176</v>
      </c>
      <c r="I102" s="199" t="b">
        <f t="shared" ca="1" si="41"/>
        <v>0</v>
      </c>
    </row>
    <row r="103" spans="1:20" s="244" customFormat="1" ht="15.75" thickBot="1">
      <c r="B103" s="253"/>
      <c r="C103" s="251" t="s">
        <v>95</v>
      </c>
      <c r="D103" s="76">
        <f>Bilance!J24</f>
        <v>0</v>
      </c>
      <c r="E103" s="76"/>
      <c r="F103" s="71" t="s">
        <v>176</v>
      </c>
      <c r="I103" s="199" t="b">
        <f t="shared" ca="1" si="41"/>
        <v>0</v>
      </c>
    </row>
    <row r="104" spans="1:20" s="244" customFormat="1" ht="15.75" thickBot="1">
      <c r="B104" s="253"/>
      <c r="C104" s="251" t="s">
        <v>95</v>
      </c>
      <c r="D104" s="252">
        <f>IFERROR(D103/D101,0)</f>
        <v>0</v>
      </c>
      <c r="E104" s="76"/>
      <c r="F104" s="71" t="s">
        <v>96</v>
      </c>
      <c r="I104" s="199" t="b">
        <f t="shared" ca="1" si="41"/>
        <v>0</v>
      </c>
    </row>
    <row r="105" spans="1:20">
      <c r="B105" s="190"/>
      <c r="C105" s="12"/>
      <c r="D105" s="240"/>
      <c r="E105" s="240"/>
      <c r="F105" s="181"/>
    </row>
    <row r="106" spans="1:20">
      <c r="A106" s="10" t="s">
        <v>16</v>
      </c>
      <c r="B106" s="190"/>
      <c r="C106" s="12"/>
      <c r="D106" s="240"/>
      <c r="E106" s="240"/>
      <c r="F106" s="181"/>
    </row>
  </sheetData>
  <sheetProtection algorithmName="SHA-512" hashValue="kh62eoMdzKajUqGdfTHN/arX8oViFMurbFoCcaeSUwqJC/uuTZmRELzvttOK07TjK/hT06Rk2Ul7XntS70BgmA==" saltValue="3iP2AcuexXuzW3JgaR3KGQ==" spinCount="100000" sheet="1" objects="1" scenarios="1"/>
  <mergeCells count="71">
    <mergeCell ref="C38:C39"/>
    <mergeCell ref="C26:C27"/>
    <mergeCell ref="C28:C30"/>
    <mergeCell ref="C31:C33"/>
    <mergeCell ref="C34:C35"/>
    <mergeCell ref="C36:C37"/>
    <mergeCell ref="D5:E5"/>
    <mergeCell ref="C85:F85"/>
    <mergeCell ref="D9:E9"/>
    <mergeCell ref="G1:G2"/>
    <mergeCell ref="D4:E4"/>
    <mergeCell ref="D6:E6"/>
    <mergeCell ref="D7:E7"/>
    <mergeCell ref="D8:E8"/>
    <mergeCell ref="D21:E21"/>
    <mergeCell ref="D10:E10"/>
    <mergeCell ref="D11:E11"/>
    <mergeCell ref="D12:E12"/>
    <mergeCell ref="D13:E13"/>
    <mergeCell ref="D14:E14"/>
    <mergeCell ref="D15:E15"/>
    <mergeCell ref="D17:E17"/>
    <mergeCell ref="D18:E18"/>
    <mergeCell ref="D19:E19"/>
    <mergeCell ref="D20:E20"/>
    <mergeCell ref="D22:E22"/>
    <mergeCell ref="D26:E26"/>
    <mergeCell ref="D58:E58"/>
    <mergeCell ref="D28:E28"/>
    <mergeCell ref="D29:E29"/>
    <mergeCell ref="D46:E46"/>
    <mergeCell ref="D31:E31"/>
    <mergeCell ref="D32:E32"/>
    <mergeCell ref="D34:E34"/>
    <mergeCell ref="D36:E36"/>
    <mergeCell ref="D38:E38"/>
    <mergeCell ref="D42:E42"/>
    <mergeCell ref="D43:E43"/>
    <mergeCell ref="D44:E44"/>
    <mergeCell ref="D45:E45"/>
    <mergeCell ref="D52:E52"/>
    <mergeCell ref="D53:E53"/>
    <mergeCell ref="D54:E54"/>
    <mergeCell ref="D55:E55"/>
    <mergeCell ref="D57:E57"/>
    <mergeCell ref="D47:E47"/>
    <mergeCell ref="D48:E48"/>
    <mergeCell ref="D49:E49"/>
    <mergeCell ref="D50:E50"/>
    <mergeCell ref="D51:E51"/>
    <mergeCell ref="D67:E67"/>
    <mergeCell ref="D68:E68"/>
    <mergeCell ref="D69:E69"/>
    <mergeCell ref="D71:E71"/>
    <mergeCell ref="D59:E59"/>
    <mergeCell ref="D60:E60"/>
    <mergeCell ref="D61:E61"/>
    <mergeCell ref="D62:E62"/>
    <mergeCell ref="D63:E63"/>
    <mergeCell ref="D65:E65"/>
    <mergeCell ref="D66:E66"/>
    <mergeCell ref="D83:E83"/>
    <mergeCell ref="D72:E72"/>
    <mergeCell ref="D78:E78"/>
    <mergeCell ref="D79:E79"/>
    <mergeCell ref="D80:E80"/>
    <mergeCell ref="D81:E81"/>
    <mergeCell ref="D74:E74"/>
    <mergeCell ref="D75:E75"/>
    <mergeCell ref="D77:E77"/>
    <mergeCell ref="D73:E73"/>
  </mergeCells>
  <conditionalFormatting sqref="G4 G6">
    <cfRule type="cellIs" dxfId="103" priority="69" operator="notEqual">
      <formula>"OK"</formula>
    </cfRule>
  </conditionalFormatting>
  <conditionalFormatting sqref="G11:G12">
    <cfRule type="cellIs" dxfId="102" priority="67" operator="notEqual">
      <formula>"OK"</formula>
    </cfRule>
  </conditionalFormatting>
  <conditionalFormatting sqref="G13">
    <cfRule type="cellIs" dxfId="101" priority="66" operator="notEqual">
      <formula>"OK"</formula>
    </cfRule>
  </conditionalFormatting>
  <conditionalFormatting sqref="G14">
    <cfRule type="cellIs" dxfId="100" priority="65" operator="notEqual">
      <formula>"OK"</formula>
    </cfRule>
  </conditionalFormatting>
  <conditionalFormatting sqref="G15">
    <cfRule type="cellIs" dxfId="99" priority="64" operator="notEqual">
      <formula>"OK"</formula>
    </cfRule>
  </conditionalFormatting>
  <conditionalFormatting sqref="G22">
    <cfRule type="cellIs" dxfId="98" priority="63" operator="notEqual">
      <formula>"OK"</formula>
    </cfRule>
  </conditionalFormatting>
  <conditionalFormatting sqref="G17:G18">
    <cfRule type="cellIs" dxfId="97" priority="61" operator="notEqual">
      <formula>"OK"</formula>
    </cfRule>
  </conditionalFormatting>
  <conditionalFormatting sqref="G42:G43">
    <cfRule type="cellIs" dxfId="96" priority="59" operator="notEqual">
      <formula>"OK"</formula>
    </cfRule>
  </conditionalFormatting>
  <conditionalFormatting sqref="G50:G51">
    <cfRule type="cellIs" dxfId="95" priority="58" operator="notEqual">
      <formula>"OK"</formula>
    </cfRule>
  </conditionalFormatting>
  <conditionalFormatting sqref="G58">
    <cfRule type="cellIs" dxfId="94" priority="57" operator="notEqual">
      <formula>"OK"</formula>
    </cfRule>
  </conditionalFormatting>
  <conditionalFormatting sqref="G66:G67">
    <cfRule type="cellIs" dxfId="93" priority="56" operator="notEqual">
      <formula>"OK"</formula>
    </cfRule>
  </conditionalFormatting>
  <conditionalFormatting sqref="G72">
    <cfRule type="cellIs" dxfId="92" priority="55" operator="notEqual">
      <formula>"OK"</formula>
    </cfRule>
  </conditionalFormatting>
  <conditionalFormatting sqref="G78">
    <cfRule type="cellIs" dxfId="91" priority="54" operator="notEqual">
      <formula>"OK"</formula>
    </cfRule>
  </conditionalFormatting>
  <conditionalFormatting sqref="G19">
    <cfRule type="expression" dxfId="90" priority="52">
      <formula>AND($G$19&lt;&gt;"OK",$F$22&lt;&gt;"ano")</formula>
    </cfRule>
  </conditionalFormatting>
  <conditionalFormatting sqref="G20">
    <cfRule type="expression" dxfId="89" priority="51">
      <formula>AND($G20&lt;&gt;"OK",$F$22&lt;&gt;"ano")</formula>
    </cfRule>
  </conditionalFormatting>
  <conditionalFormatting sqref="G21">
    <cfRule type="expression" dxfId="88" priority="50">
      <formula>AND($G21&lt;&gt;"OK",$F$22&lt;&gt;"ano")</formula>
    </cfRule>
  </conditionalFormatting>
  <conditionalFormatting sqref="G59">
    <cfRule type="cellIs" dxfId="87" priority="49" operator="notEqual">
      <formula>"OK"</formula>
    </cfRule>
  </conditionalFormatting>
  <conditionalFormatting sqref="G44 G46">
    <cfRule type="cellIs" dxfId="86" priority="47" operator="notEqual">
      <formula>"OK"</formula>
    </cfRule>
  </conditionalFormatting>
  <conditionalFormatting sqref="G52">
    <cfRule type="cellIs" dxfId="85" priority="46" operator="notEqual">
      <formula>"OK"</formula>
    </cfRule>
  </conditionalFormatting>
  <conditionalFormatting sqref="G60">
    <cfRule type="cellIs" dxfId="84" priority="45" operator="notEqual">
      <formula>"OK"</formula>
    </cfRule>
  </conditionalFormatting>
  <conditionalFormatting sqref="F49">
    <cfRule type="expression" dxfId="83" priority="44">
      <formula>$N$49</formula>
    </cfRule>
  </conditionalFormatting>
  <conditionalFormatting sqref="F57">
    <cfRule type="expression" dxfId="82" priority="42">
      <formula>$N$57</formula>
    </cfRule>
  </conditionalFormatting>
  <conditionalFormatting sqref="F65">
    <cfRule type="expression" dxfId="81" priority="41">
      <formula>$N$65</formula>
    </cfRule>
  </conditionalFormatting>
  <conditionalFormatting sqref="G54">
    <cfRule type="cellIs" dxfId="80" priority="40" operator="notEqual">
      <formula>"OK"</formula>
    </cfRule>
  </conditionalFormatting>
  <conditionalFormatting sqref="G62">
    <cfRule type="cellIs" dxfId="79" priority="39" operator="notEqual">
      <formula>"OK"</formula>
    </cfRule>
  </conditionalFormatting>
  <conditionalFormatting sqref="G69">
    <cfRule type="cellIs" dxfId="78" priority="38" operator="notEqual">
      <formula>"OK"</formula>
    </cfRule>
  </conditionalFormatting>
  <conditionalFormatting sqref="G75">
    <cfRule type="cellIs" dxfId="77" priority="37" operator="notEqual">
      <formula>"OK"</formula>
    </cfRule>
  </conditionalFormatting>
  <conditionalFormatting sqref="G81">
    <cfRule type="cellIs" dxfId="76" priority="36" operator="notEqual">
      <formula>"OK"</formula>
    </cfRule>
  </conditionalFormatting>
  <conditionalFormatting sqref="F71">
    <cfRule type="expression" dxfId="75" priority="35">
      <formula>$N$71</formula>
    </cfRule>
  </conditionalFormatting>
  <conditionalFormatting sqref="F77">
    <cfRule type="expression" dxfId="74" priority="34">
      <formula>$N$77</formula>
    </cfRule>
  </conditionalFormatting>
  <conditionalFormatting sqref="F83">
    <cfRule type="expression" dxfId="73" priority="33">
      <formula>$N$83</formula>
    </cfRule>
  </conditionalFormatting>
  <conditionalFormatting sqref="G73">
    <cfRule type="cellIs" dxfId="72" priority="31" operator="notEqual">
      <formula>"OK"</formula>
    </cfRule>
  </conditionalFormatting>
  <conditionalFormatting sqref="G79">
    <cfRule type="cellIs" dxfId="71" priority="30" operator="notEqual">
      <formula>"OK"</formula>
    </cfRule>
  </conditionalFormatting>
  <conditionalFormatting sqref="G5">
    <cfRule type="cellIs" dxfId="70" priority="23" operator="notEqual">
      <formula>"OK"</formula>
    </cfRule>
  </conditionalFormatting>
  <conditionalFormatting sqref="G7:G10">
    <cfRule type="cellIs" dxfId="69" priority="22" operator="notEqual">
      <formula>"OK"</formula>
    </cfRule>
  </conditionalFormatting>
  <conditionalFormatting sqref="G26 G28:G29 G31:G32 G34 G36">
    <cfRule type="cellIs" dxfId="68" priority="13" operator="notEqual">
      <formula>"OK"</formula>
    </cfRule>
  </conditionalFormatting>
  <conditionalFormatting sqref="G27">
    <cfRule type="cellIs" dxfId="67" priority="12" operator="notEqual">
      <formula>"OK"</formula>
    </cfRule>
  </conditionalFormatting>
  <conditionalFormatting sqref="G30">
    <cfRule type="cellIs" dxfId="66" priority="11" operator="notEqual">
      <formula>"OK"</formula>
    </cfRule>
  </conditionalFormatting>
  <conditionalFormatting sqref="G33">
    <cfRule type="cellIs" dxfId="65" priority="10" operator="notEqual">
      <formula>"OK"</formula>
    </cfRule>
  </conditionalFormatting>
  <conditionalFormatting sqref="G35">
    <cfRule type="cellIs" dxfId="64" priority="9" operator="notEqual">
      <formula>"OK"</formula>
    </cfRule>
  </conditionalFormatting>
  <conditionalFormatting sqref="G37">
    <cfRule type="cellIs" dxfId="63" priority="8" operator="notEqual">
      <formula>"OK"</formula>
    </cfRule>
  </conditionalFormatting>
  <conditionalFormatting sqref="G39">
    <cfRule type="cellIs" dxfId="62" priority="7" operator="notEqual">
      <formula>"OK"</formula>
    </cfRule>
  </conditionalFormatting>
  <conditionalFormatting sqref="G45">
    <cfRule type="cellIs" dxfId="61" priority="6" operator="notEqual">
      <formula>"OK"</formula>
    </cfRule>
  </conditionalFormatting>
  <conditionalFormatting sqref="G53">
    <cfRule type="cellIs" dxfId="60" priority="5" operator="notEqual">
      <formula>"OK"</formula>
    </cfRule>
  </conditionalFormatting>
  <conditionalFormatting sqref="G61">
    <cfRule type="cellIs" dxfId="59" priority="4" operator="notEqual">
      <formula>"OK"</formula>
    </cfRule>
  </conditionalFormatting>
  <conditionalFormatting sqref="G68">
    <cfRule type="cellIs" dxfId="58" priority="3" operator="notEqual">
      <formula>"OK"</formula>
    </cfRule>
  </conditionalFormatting>
  <conditionalFormatting sqref="G74">
    <cfRule type="cellIs" dxfId="57" priority="2" operator="notEqual">
      <formula>"OK"</formula>
    </cfRule>
  </conditionalFormatting>
  <conditionalFormatting sqref="G80">
    <cfRule type="cellIs" dxfId="56" priority="1" operator="notEqual">
      <formula>"OK"</formula>
    </cfRule>
  </conditionalFormatting>
  <dataValidations count="18">
    <dataValidation type="list" allowBlank="1" showInputMessage="1" showErrorMessage="1" sqref="F15" xr:uid="{82D78008-AF42-49B3-B59E-61E8082FEB19}">
      <formula1>INDIRECT("TTypSZTBudova[typ SZT]")</formula1>
    </dataValidation>
    <dataValidation type="whole" allowBlank="1" showErrorMessage="1" error="Obvyklá hodnota do 500 mm" prompt="Obvyklá hodnota do 500 mm" sqref="F52 F44" xr:uid="{EFACF668-8B42-4C7B-9791-ADE8C72D79CE}">
      <formula1>0</formula1>
      <formula2>MaxTlIzol</formula2>
    </dataValidation>
    <dataValidation type="list" allowBlank="1" showErrorMessage="1" sqref="F13" xr:uid="{05283EC1-BCE3-4E1E-B376-910F60C39475}">
      <formula1>INDIRECT("TZdrojBudova[#Záhlaví]")</formula1>
    </dataValidation>
    <dataValidation type="whole" allowBlank="1" showErrorMessage="1" error="Obvyklá hodnota do 500 mm" sqref="F60" xr:uid="{AFB3A7D2-F72A-4AF5-B652-2E6F00BD012D}">
      <formula1>0</formula1>
      <formula2>MaxTlIzol</formula2>
    </dataValidation>
    <dataValidation type="decimal" allowBlank="1" showInputMessage="1" showErrorMessage="1" prompt="0-7 W/m2K" sqref="F62 F54 F46" xr:uid="{DE4E5035-EAE2-4DA4-8F7E-D3564075BB9B}">
      <formula1>0</formula1>
      <formula2>7</formula2>
    </dataValidation>
    <dataValidation type="decimal" allowBlank="1" showErrorMessage="1" error="Hodnota do 7 W/m2K" sqref="F75 F69 F81" xr:uid="{92C18D90-3E5F-486C-8184-54D1666374A6}">
      <formula1>0</formula1>
      <formula2>7</formula2>
    </dataValidation>
    <dataValidation type="whole" operator="greaterThan" allowBlank="1" showInputMessage="1" showErrorMessage="1" sqref="F45 F80 F53 F68 F74 F61" xr:uid="{0DF70EB1-7CE9-48BE-ACC0-97A9AB73B28B}">
      <formula1>0</formula1>
    </dataValidation>
    <dataValidation type="list" allowBlank="1" showInputMessage="1" showErrorMessage="1" sqref="F31" xr:uid="{477DF3D9-7403-4279-B965-64E488502C97}">
      <formula1>INDIRECT("TPodlaha[Podlaha]")</formula1>
    </dataValidation>
    <dataValidation type="list" allowBlank="1" showInputMessage="1" showErrorMessage="1" sqref="F28" xr:uid="{30B01C53-CD04-4F5B-AFE6-D38023BAC0AE}">
      <formula1>INDIRECT("TStřecha[Střecha]")</formula1>
    </dataValidation>
    <dataValidation type="decimal" allowBlank="1" showInputMessage="1" showErrorMessage="1" sqref="F18" xr:uid="{5D56D624-41EB-4FDA-BF9B-5DCF9EA7BC33}">
      <formula1>0</formula1>
      <formula2>5</formula2>
    </dataValidation>
    <dataValidation type="whole" allowBlank="1" showInputMessage="1" showErrorMessage="1" prompt="0-30°C" sqref="F12" xr:uid="{2EBF82FF-7394-4852-B199-E764E4C10B7A}">
      <formula1>MinTeplota</formula1>
      <formula2>MaxTeplota</formula2>
    </dataValidation>
    <dataValidation type="list" allowBlank="1" showInputMessage="1" showErrorMessage="1" sqref="F11" xr:uid="{D2578750-5101-4BAF-BA1E-C7962C0ADDB9}">
      <formula1>INDIRECT("TObdobíVýstavby[Období výstavby]")</formula1>
    </dataValidation>
    <dataValidation type="list" allowBlank="1" showInputMessage="1" showErrorMessage="1" sqref="D91:E91 F42 F50 F66 F78 D2:F2 F72 F58 D16:E16 F7:F8 F22 F5" xr:uid="{ECC797C1-3528-497F-A8D6-4122D77F6A5D}">
      <formula1>"ano,ne"</formula1>
    </dataValidation>
    <dataValidation allowBlank="1" showErrorMessage="1" prompt="Hodnoty v rozmezí 0,5 až 2,0_x000a_" sqref="H9:H10 M70 G82 M50 M55:M58 M63:M66 M72 M76 I10 H79:H82" xr:uid="{E42A4A4C-FD50-469C-ACA6-2C6B79D37C13}"/>
    <dataValidation type="list" allowBlank="1" showInputMessage="1" showErrorMessage="1" sqref="F4" xr:uid="{A6579085-0ED0-42D6-B405-561BF85C7487}">
      <formula1>INDIRECT("TZadání[Zateplení]")</formula1>
    </dataValidation>
    <dataValidation type="list" allowBlank="1" showInputMessage="1" showErrorMessage="1" sqref="F6" xr:uid="{75967E82-C330-4B46-8EE1-4A0170B436CB}">
      <formula1>INDIRECT("TTypBudovy[typ budovy]")</formula1>
    </dataValidation>
    <dataValidation type="decimal" allowBlank="1" showInputMessage="1" showErrorMessage="1" sqref="F17" xr:uid="{AF25C151-31B5-43B9-90CB-D6F8B75FDDC9}">
      <formula1>MinU</formula1>
      <formula2>MaxU</formula2>
    </dataValidation>
    <dataValidation type="decimal" operator="greaterThan" allowBlank="1" showInputMessage="1" showErrorMessage="1" sqref="F33 F30 F27 F35 F37 F39" xr:uid="{BF039E72-3772-4E04-91E2-19298C50DC99}">
      <formula1>0</formula1>
    </dataValidation>
  </dataValidations>
  <pageMargins left="0.7" right="0.7" top="0.78740157499999996" bottom="0.78740157499999996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3" name="Button 1">
              <controlPr defaultSize="0" print="0" autoFill="0" autoPict="0" macro="[0]!GoHome">
                <anchor moveWithCells="1" sizeWithCells="1">
                  <from>
                    <xdr:col>2</xdr:col>
                    <xdr:colOff>3076575</xdr:colOff>
                    <xdr:row>0</xdr:row>
                    <xdr:rowOff>123825</xdr:rowOff>
                  </from>
                  <to>
                    <xdr:col>3</xdr:col>
                    <xdr:colOff>1238250</xdr:colOff>
                    <xdr:row>0</xdr:row>
                    <xdr:rowOff>485775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4" name="Button 2">
              <controlPr defaultSize="0" print="0" autoFill="0" autoPict="0" macro="[0]!List9.ResetMe">
                <anchor moveWithCells="1" sizeWithCells="1">
                  <from>
                    <xdr:col>3</xdr:col>
                    <xdr:colOff>1733550</xdr:colOff>
                    <xdr:row>0</xdr:row>
                    <xdr:rowOff>123825</xdr:rowOff>
                  </from>
                  <to>
                    <xdr:col>4</xdr:col>
                    <xdr:colOff>981075</xdr:colOff>
                    <xdr:row>0</xdr:row>
                    <xdr:rowOff>485775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ErrorMessage="1" xr:uid="{36427316-FF52-4F50-A634-0CED4C69298F}">
          <x14:formula1>
            <xm:f>INDIRECT(ParametryZateplení!$A$20)</xm:f>
          </x14:formula1>
          <xm:sqref>F14</xm:sqref>
        </x14:dataValidation>
        <x14:dataValidation type="list" allowBlank="1" showInputMessage="1" showErrorMessage="1" xr:uid="{812BBCA8-A46A-4E93-BA9B-4237BC699C1C}">
          <x14:formula1>
            <xm:f>INDIRECT(Budova!$D$4)</xm:f>
          </x14:formula1>
          <xm:sqref>F26</xm:sqref>
        </x14:dataValidation>
        <x14:dataValidation type="list" allowBlank="1" showInputMessage="1" showErrorMessage="1" xr:uid="{2139F3C8-64B1-49DB-8E9F-BC24A74951C1}">
          <x14:formula1>
            <xm:f>Budova_Opatření!$B$3:$B$13</xm:f>
          </x14:formula1>
          <xm:sqref>F43</xm:sqref>
        </x14:dataValidation>
        <x14:dataValidation type="list" allowBlank="1" showInputMessage="1" showErrorMessage="1" xr:uid="{002EA36E-8020-4DF6-B992-EC43385C2431}">
          <x14:formula1>
            <xm:f>CHOOSE(Budova!$J$1,Budova_Opatření!$B$14:$B$19,Budova_Opatření!$B$20:$B$23,Budova_Opatření!$B$24:$B$27)</xm:f>
          </x14:formula1>
          <xm:sqref>F51</xm:sqref>
        </x14:dataValidation>
        <x14:dataValidation type="list" allowBlank="1" showInputMessage="1" showErrorMessage="1" xr:uid="{DEE4A323-C9BD-4F52-9677-EEC619C80F17}">
          <x14:formula1>
            <xm:f>CHOOSE(Budova!$L$1,Budova_Opatření!$B$28:$B$34,Budova_Opatření!$B$35:$B$38)</xm:f>
          </x14:formula1>
          <xm:sqref>F59</xm:sqref>
        </x14:dataValidation>
        <x14:dataValidation type="list" allowBlank="1" showInputMessage="1" showErrorMessage="1" xr:uid="{D25D6D50-A031-4407-A355-3847DA9D79D7}">
          <x14:formula1>
            <xm:f>Budova_Opatření!$B$39:$B$48</xm:f>
          </x14:formula1>
          <xm:sqref>F67</xm:sqref>
        </x14:dataValidation>
        <x14:dataValidation type="list" allowBlank="1" showInputMessage="1" showErrorMessage="1" xr:uid="{50BFB6B3-7C61-4514-AA42-A202891A19BC}">
          <x14:formula1>
            <xm:f>Budova_Opatření!$B$49:$B$52</xm:f>
          </x14:formula1>
          <xm:sqref>F73</xm:sqref>
        </x14:dataValidation>
        <x14:dataValidation type="list" allowBlank="1" showInputMessage="1" showErrorMessage="1" xr:uid="{50E4487C-0990-4241-AD06-21AF824B9040}">
          <x14:formula1>
            <xm:f>Budova_Opatření!$B$53:$B$59</xm:f>
          </x14:formula1>
          <xm:sqref>F79</xm:sqref>
        </x14:dataValidation>
        <x14:dataValidation type="list" allowBlank="1" showInputMessage="1" showErrorMessage="1" xr:uid="{257816F5-8B77-45ED-8051-0A43752F9BF5}">
          <x14:formula1>
            <xm:f>INDIRECT(CHOOSE(Budova!$J$1,Budova!$D$11,Budova!$D$18,Budova!$D$25))</xm:f>
          </x14:formula1>
          <xm:sqref>F29</xm:sqref>
        </x14:dataValidation>
        <x14:dataValidation type="list" allowBlank="1" showInputMessage="1" showErrorMessage="1" xr:uid="{EA6FD657-6513-4AEA-B63A-BE2431FAF2E1}">
          <x14:formula1>
            <xm:f>INDIRECT(CHOOSE(Budova!$L$1,Budova!$D$32,Budova!$D$60))</xm:f>
          </x14:formula1>
          <xm:sqref>F32</xm:sqref>
        </x14:dataValidation>
        <x14:dataValidation type="list" allowBlank="1" showInputMessage="1" showErrorMessage="1" xr:uid="{4A2CDEB2-0548-414F-B33E-0323D67E99E3}">
          <x14:formula1>
            <xm:f>INDIRECT(Budova!$D$39)</xm:f>
          </x14:formula1>
          <xm:sqref>F34</xm:sqref>
        </x14:dataValidation>
        <x14:dataValidation type="list" allowBlank="1" showInputMessage="1" showErrorMessage="1" xr:uid="{08DEF7FF-72E2-40A3-90B1-AB1BC492BD0A}">
          <x14:formula1>
            <xm:f>INDIRECT(Budova!$D$46)</xm:f>
          </x14:formula1>
          <xm:sqref>F36</xm:sqref>
        </x14:dataValidation>
        <x14:dataValidation type="list" allowBlank="1" showInputMessage="1" showErrorMessage="1" xr:uid="{4D1B5461-A2A2-4D3C-A569-98E65AFEB663}">
          <x14:formula1>
            <xm:f>INDIRECT(Budova!$D$53)</xm:f>
          </x14:formula1>
          <xm:sqref>F38</xm:sqref>
        </x14:dataValidation>
      </x14:dataValidation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9B528F-0E4B-4E89-BD18-194D61298DBA}">
  <sheetPr codeName="List3"/>
  <dimension ref="A1:P116"/>
  <sheetViews>
    <sheetView workbookViewId="0"/>
  </sheetViews>
  <sheetFormatPr defaultColWidth="9.140625" defaultRowHeight="15"/>
  <cols>
    <col min="1" max="1" width="9.28515625" style="77" customWidth="1"/>
    <col min="2" max="2" width="10.28515625" style="77" customWidth="1"/>
    <col min="3" max="3" width="10" style="77" customWidth="1"/>
    <col min="4" max="4" width="9.140625" style="77"/>
    <col min="5" max="5" width="9.28515625" style="77" customWidth="1"/>
    <col min="6" max="6" width="14.28515625" style="77" customWidth="1"/>
    <col min="7" max="7" width="18.42578125" style="77" customWidth="1"/>
    <col min="8" max="8" width="9.140625" style="77"/>
    <col min="9" max="9" width="22.28515625" style="77" bestFit="1" customWidth="1"/>
    <col min="10" max="11" width="10.7109375" style="77" customWidth="1"/>
    <col min="12" max="14" width="9.140625" style="77"/>
    <col min="15" max="15" width="14.140625" style="77" customWidth="1"/>
    <col min="16" max="16384" width="9.140625" style="77"/>
  </cols>
  <sheetData>
    <row r="1" spans="1:16">
      <c r="A1" s="90" t="s">
        <v>112</v>
      </c>
      <c r="B1" s="90" t="s">
        <v>113</v>
      </c>
      <c r="C1" s="90" t="s">
        <v>114</v>
      </c>
      <c r="D1" s="90" t="s">
        <v>115</v>
      </c>
      <c r="E1" s="90" t="s">
        <v>116</v>
      </c>
      <c r="F1" s="90" t="s">
        <v>117</v>
      </c>
      <c r="G1" s="90" t="s">
        <v>118</v>
      </c>
      <c r="I1" s="721"/>
      <c r="J1" s="721" t="s">
        <v>123</v>
      </c>
      <c r="K1" s="721"/>
      <c r="M1" s="87" t="s">
        <v>119</v>
      </c>
    </row>
    <row r="2" spans="1:16">
      <c r="A2" s="88">
        <v>40</v>
      </c>
      <c r="B2" s="88">
        <v>30</v>
      </c>
      <c r="C2" s="88">
        <f>ROUND((C3/F3)*F2,2)</f>
        <v>6.62</v>
      </c>
      <c r="D2" s="88">
        <f>ROUND((D3/F3)*F2,2)</f>
        <v>5</v>
      </c>
      <c r="E2" s="88">
        <f>ROUND((E3/F3)*F2,2)</f>
        <v>3.67</v>
      </c>
      <c r="F2" s="88">
        <v>3</v>
      </c>
      <c r="G2" s="89">
        <f>F2*H3</f>
        <v>0</v>
      </c>
      <c r="I2" s="721"/>
      <c r="J2" s="93" t="s">
        <v>124</v>
      </c>
      <c r="K2" s="93" t="s">
        <v>125</v>
      </c>
      <c r="M2" s="92" t="s">
        <v>127</v>
      </c>
      <c r="N2" s="92" t="s">
        <v>120</v>
      </c>
      <c r="O2" s="92" t="s">
        <v>118</v>
      </c>
      <c r="P2" s="92" t="s">
        <v>121</v>
      </c>
    </row>
    <row r="3" spans="1:16">
      <c r="A3" s="88">
        <f>A2+($A$5-$A$2)/3</f>
        <v>46.666666666666664</v>
      </c>
      <c r="B3" s="88">
        <f>B2+($B$5-$B$2)/3</f>
        <v>35.333333333333336</v>
      </c>
      <c r="C3" s="88">
        <f t="shared" ref="C3:C47" si="0">(C4/F4)*F3</f>
        <v>12.133526850507986</v>
      </c>
      <c r="D3" s="88">
        <f>(D4/F4)*F3</f>
        <v>9.1666666666666679</v>
      </c>
      <c r="E3" s="88">
        <f>(E4/F4)*F3</f>
        <v>6.7222222222222241</v>
      </c>
      <c r="F3" s="88">
        <v>5.5</v>
      </c>
      <c r="G3" s="89">
        <v>470</v>
      </c>
      <c r="I3" s="91" t="s">
        <v>126</v>
      </c>
      <c r="J3" s="91">
        <v>40</v>
      </c>
      <c r="K3" s="91">
        <v>1000</v>
      </c>
      <c r="M3" s="77" t="s">
        <v>112</v>
      </c>
      <c r="N3" s="77">
        <v>25</v>
      </c>
      <c r="O3" s="89">
        <v>200</v>
      </c>
      <c r="P3" s="88">
        <f t="shared" ref="P3:P30" si="1">O3/N3</f>
        <v>8</v>
      </c>
    </row>
    <row r="4" spans="1:16">
      <c r="A4" s="88">
        <f>A3+($A$5-$A$2)/3</f>
        <v>53.333333333333329</v>
      </c>
      <c r="B4" s="88">
        <f>B3+($B$5-$B$2)/3</f>
        <v>40.666666666666671</v>
      </c>
      <c r="C4" s="88">
        <f t="shared" si="0"/>
        <v>13.23657474600871</v>
      </c>
      <c r="D4" s="88">
        <v>10</v>
      </c>
      <c r="E4" s="88">
        <f>(E5/F5)*F4</f>
        <v>7.3333333333333357</v>
      </c>
      <c r="F4" s="88">
        <v>6</v>
      </c>
      <c r="G4" s="89">
        <f>G3+($G$6-$G$3)/3</f>
        <v>582</v>
      </c>
      <c r="I4" s="91" t="s">
        <v>49</v>
      </c>
      <c r="J4" s="91">
        <v>30</v>
      </c>
      <c r="K4" s="91">
        <v>500</v>
      </c>
      <c r="M4" s="77" t="s">
        <v>112</v>
      </c>
      <c r="N4" s="77">
        <v>40</v>
      </c>
      <c r="O4" s="89">
        <v>280</v>
      </c>
      <c r="P4" s="88">
        <f t="shared" si="1"/>
        <v>7</v>
      </c>
    </row>
    <row r="5" spans="1:16">
      <c r="A5" s="88">
        <v>60</v>
      </c>
      <c r="B5" s="88">
        <v>46</v>
      </c>
      <c r="C5" s="88">
        <f t="shared" si="0"/>
        <v>15.442670537010162</v>
      </c>
      <c r="D5" s="88">
        <f>D4+(D7-D4)/3</f>
        <v>12</v>
      </c>
      <c r="E5" s="88">
        <f>(E6/F6)*F5</f>
        <v>8.5555555555555571</v>
      </c>
      <c r="F5" s="88">
        <v>7</v>
      </c>
      <c r="G5" s="89">
        <f>G4+($G$6-$G$3)/3</f>
        <v>694</v>
      </c>
      <c r="I5" s="91" t="s">
        <v>56</v>
      </c>
      <c r="J5" s="91">
        <v>4</v>
      </c>
      <c r="K5" s="91">
        <v>500</v>
      </c>
      <c r="M5" s="77" t="s">
        <v>112</v>
      </c>
      <c r="N5" s="77">
        <v>60</v>
      </c>
      <c r="O5" s="89">
        <v>630</v>
      </c>
      <c r="P5" s="88">
        <f t="shared" si="1"/>
        <v>10.5</v>
      </c>
    </row>
    <row r="6" spans="1:16">
      <c r="A6" s="88">
        <f>A5+(A8-A5)/3</f>
        <v>65</v>
      </c>
      <c r="B6" s="88">
        <f>B5+(B7-B5)/2</f>
        <v>51.5</v>
      </c>
      <c r="C6" s="88">
        <f t="shared" si="0"/>
        <v>17.648766328011614</v>
      </c>
      <c r="D6" s="88">
        <f>D5+(D7-D4)/3</f>
        <v>14</v>
      </c>
      <c r="E6" s="88">
        <f>(E7/F7)*F6</f>
        <v>9.7777777777777786</v>
      </c>
      <c r="F6" s="88">
        <v>8</v>
      </c>
      <c r="G6" s="89">
        <v>806</v>
      </c>
      <c r="I6" s="91" t="s">
        <v>63</v>
      </c>
      <c r="J6" s="91">
        <v>7</v>
      </c>
      <c r="K6" s="91">
        <v>500</v>
      </c>
      <c r="M6" s="77" t="s">
        <v>112</v>
      </c>
      <c r="N6" s="77">
        <v>75</v>
      </c>
      <c r="O6" s="89">
        <v>1000</v>
      </c>
      <c r="P6" s="88">
        <f t="shared" si="1"/>
        <v>13.333333333333334</v>
      </c>
    </row>
    <row r="7" spans="1:16">
      <c r="A7" s="88">
        <v>70</v>
      </c>
      <c r="B7" s="88">
        <v>57</v>
      </c>
      <c r="C7" s="88">
        <f t="shared" si="0"/>
        <v>19.854862119013067</v>
      </c>
      <c r="D7" s="88">
        <v>16</v>
      </c>
      <c r="E7" s="88">
        <v>11</v>
      </c>
      <c r="F7" s="88">
        <v>9</v>
      </c>
      <c r="G7" s="89">
        <f>(G6+G8)/2</f>
        <v>930.5</v>
      </c>
      <c r="I7" s="91" t="s">
        <v>70</v>
      </c>
      <c r="J7" s="91">
        <v>5</v>
      </c>
      <c r="K7" s="91">
        <v>500</v>
      </c>
      <c r="M7" s="77" t="s">
        <v>112</v>
      </c>
      <c r="N7" s="77">
        <v>100</v>
      </c>
      <c r="O7" s="89">
        <v>1340</v>
      </c>
      <c r="P7" s="88">
        <f t="shared" si="1"/>
        <v>13.4</v>
      </c>
    </row>
    <row r="8" spans="1:16">
      <c r="A8" s="88">
        <v>75</v>
      </c>
      <c r="B8" s="88">
        <f>B7+(B10-B7)/3</f>
        <v>63.666666666666664</v>
      </c>
      <c r="C8" s="88">
        <f t="shared" si="0"/>
        <v>22.060957910014519</v>
      </c>
      <c r="D8" s="88">
        <f>D7+($D$32-$D$7)/25</f>
        <v>16.8</v>
      </c>
      <c r="E8" s="88">
        <f>E7+($E$10-$E$7)/3</f>
        <v>13.333333333333334</v>
      </c>
      <c r="F8" s="88">
        <v>10</v>
      </c>
      <c r="G8" s="89">
        <v>1055</v>
      </c>
      <c r="I8"/>
      <c r="M8" s="77" t="s">
        <v>112</v>
      </c>
      <c r="N8" s="77">
        <v>150</v>
      </c>
      <c r="O8" s="89">
        <v>2140</v>
      </c>
      <c r="P8" s="88">
        <f t="shared" si="1"/>
        <v>14.266666666666667</v>
      </c>
    </row>
    <row r="9" spans="1:16">
      <c r="A9" s="88">
        <f>(A8+A10)/2</f>
        <v>87.5</v>
      </c>
      <c r="B9" s="88">
        <f>B8+(B10-B7)/3</f>
        <v>70.333333333333329</v>
      </c>
      <c r="C9" s="88">
        <f t="shared" si="0"/>
        <v>24.267053701015971</v>
      </c>
      <c r="D9" s="88">
        <f t="shared" ref="D9:D31" si="2">D8+($D$32-$D$7)/25</f>
        <v>17.600000000000001</v>
      </c>
      <c r="E9" s="88">
        <f>E8+($E$10-$E$7)/3</f>
        <v>15.666666666666668</v>
      </c>
      <c r="F9" s="88">
        <v>11</v>
      </c>
      <c r="G9" s="89">
        <f>G8+(G11-G8)/3</f>
        <v>1210.3333333333333</v>
      </c>
      <c r="M9" s="77" t="s">
        <v>112</v>
      </c>
      <c r="N9" s="77">
        <v>200</v>
      </c>
      <c r="O9" s="89">
        <v>2800</v>
      </c>
      <c r="P9" s="88">
        <f t="shared" si="1"/>
        <v>14</v>
      </c>
    </row>
    <row r="10" spans="1:16">
      <c r="A10" s="88">
        <v>100</v>
      </c>
      <c r="B10" s="88">
        <v>77</v>
      </c>
      <c r="C10" s="88">
        <f t="shared" si="0"/>
        <v>26.47314949201742</v>
      </c>
      <c r="D10" s="88">
        <f t="shared" si="2"/>
        <v>18.400000000000002</v>
      </c>
      <c r="E10" s="88">
        <v>18</v>
      </c>
      <c r="F10" s="88">
        <v>12</v>
      </c>
      <c r="G10" s="89">
        <f>G9+(G11-G8)/3</f>
        <v>1365.6666666666665</v>
      </c>
      <c r="M10" s="77" t="s">
        <v>112</v>
      </c>
      <c r="N10" s="77">
        <v>300</v>
      </c>
      <c r="O10" s="89">
        <v>4200</v>
      </c>
      <c r="P10" s="88">
        <f t="shared" si="1"/>
        <v>14</v>
      </c>
    </row>
    <row r="11" spans="1:16">
      <c r="A11" s="88">
        <f>A10+($A$19-$A$10)/9</f>
        <v>105.55555555555556</v>
      </c>
      <c r="B11" s="88">
        <f>B10+($B$33-$B$10)/23</f>
        <v>80.173913043478265</v>
      </c>
      <c r="C11" s="88">
        <f t="shared" si="0"/>
        <v>28.679245283018872</v>
      </c>
      <c r="D11" s="88">
        <f t="shared" si="2"/>
        <v>19.200000000000003</v>
      </c>
      <c r="E11" s="88">
        <f>E10+($E$14-$E$10)/4</f>
        <v>20.5</v>
      </c>
      <c r="F11" s="88">
        <v>13</v>
      </c>
      <c r="G11" s="89">
        <v>1521</v>
      </c>
      <c r="M11" s="77" t="s">
        <v>114</v>
      </c>
      <c r="N11" s="77">
        <v>80</v>
      </c>
      <c r="O11" s="89">
        <v>3600</v>
      </c>
      <c r="P11" s="88">
        <f t="shared" si="1"/>
        <v>45</v>
      </c>
    </row>
    <row r="12" spans="1:16">
      <c r="A12" s="88">
        <f t="shared" ref="A12:A18" si="3">A11+($A$19-$A$10)/9</f>
        <v>111.11111111111111</v>
      </c>
      <c r="B12" s="88">
        <f t="shared" ref="B12:B32" si="4">B11+($B$33-$B$10)/23</f>
        <v>83.34782608695653</v>
      </c>
      <c r="C12" s="88">
        <f t="shared" si="0"/>
        <v>30.885341074020324</v>
      </c>
      <c r="D12" s="88">
        <f t="shared" si="2"/>
        <v>20.000000000000004</v>
      </c>
      <c r="E12" s="88">
        <f>E11+($E$14-$E$10)/4</f>
        <v>23</v>
      </c>
      <c r="F12" s="88">
        <v>14</v>
      </c>
      <c r="G12" s="89">
        <f t="shared" ref="G12:G17" si="5">G11+($G$18-$G$11)/7</f>
        <v>1603.7142857142858</v>
      </c>
      <c r="M12" s="77" t="s">
        <v>114</v>
      </c>
      <c r="N12" s="77">
        <v>125</v>
      </c>
      <c r="O12" s="89">
        <v>6000</v>
      </c>
      <c r="P12" s="88">
        <f t="shared" si="1"/>
        <v>48</v>
      </c>
    </row>
    <row r="13" spans="1:16">
      <c r="A13" s="88">
        <f t="shared" si="3"/>
        <v>116.66666666666667</v>
      </c>
      <c r="B13" s="88">
        <f t="shared" si="4"/>
        <v>86.521739130434796</v>
      </c>
      <c r="C13" s="88">
        <f t="shared" si="0"/>
        <v>33.091436865021777</v>
      </c>
      <c r="D13" s="88">
        <f t="shared" si="2"/>
        <v>20.800000000000004</v>
      </c>
      <c r="E13" s="88">
        <f>E12+($E$14-$E$10)/4</f>
        <v>25.5</v>
      </c>
      <c r="F13" s="88">
        <v>15</v>
      </c>
      <c r="G13" s="89">
        <f t="shared" si="5"/>
        <v>1686.4285714285716</v>
      </c>
      <c r="M13" s="77" t="s">
        <v>114</v>
      </c>
      <c r="N13" s="77">
        <v>250</v>
      </c>
      <c r="O13" s="89">
        <v>12700</v>
      </c>
      <c r="P13" s="88">
        <f t="shared" si="1"/>
        <v>50.8</v>
      </c>
    </row>
    <row r="14" spans="1:16">
      <c r="A14" s="88">
        <f t="shared" si="3"/>
        <v>122.22222222222223</v>
      </c>
      <c r="B14" s="88">
        <f t="shared" si="4"/>
        <v>89.695652173913061</v>
      </c>
      <c r="C14" s="88">
        <f t="shared" si="0"/>
        <v>35.297532656023229</v>
      </c>
      <c r="D14" s="88">
        <f t="shared" si="2"/>
        <v>21.600000000000005</v>
      </c>
      <c r="E14" s="88">
        <v>28</v>
      </c>
      <c r="F14" s="88">
        <v>16</v>
      </c>
      <c r="G14" s="89">
        <f t="shared" si="5"/>
        <v>1769.1428571428573</v>
      </c>
      <c r="M14" s="77" t="s">
        <v>115</v>
      </c>
      <c r="N14" s="77">
        <v>10</v>
      </c>
      <c r="O14" s="89">
        <v>600</v>
      </c>
      <c r="P14" s="88">
        <f t="shared" si="1"/>
        <v>60</v>
      </c>
    </row>
    <row r="15" spans="1:16">
      <c r="A15" s="88">
        <f t="shared" si="3"/>
        <v>127.77777777777779</v>
      </c>
      <c r="B15" s="88">
        <f t="shared" si="4"/>
        <v>92.869565217391326</v>
      </c>
      <c r="C15" s="88">
        <f t="shared" si="0"/>
        <v>37.503628447024681</v>
      </c>
      <c r="D15" s="88">
        <f t="shared" si="2"/>
        <v>22.400000000000006</v>
      </c>
      <c r="E15" s="88">
        <f>E14+($E$43-$E$14)/28</f>
        <v>28.285714285714285</v>
      </c>
      <c r="F15" s="88">
        <v>17</v>
      </c>
      <c r="G15" s="89">
        <f t="shared" si="5"/>
        <v>1851.8571428571431</v>
      </c>
      <c r="M15" s="77" t="s">
        <v>115</v>
      </c>
      <c r="N15" s="77">
        <v>16</v>
      </c>
      <c r="O15" s="89">
        <v>980</v>
      </c>
      <c r="P15" s="88">
        <f t="shared" si="1"/>
        <v>61.25</v>
      </c>
    </row>
    <row r="16" spans="1:16">
      <c r="A16" s="88">
        <f t="shared" si="3"/>
        <v>133.33333333333334</v>
      </c>
      <c r="B16" s="88">
        <f t="shared" si="4"/>
        <v>96.043478260869591</v>
      </c>
      <c r="C16" s="88">
        <f t="shared" si="0"/>
        <v>39.709724238026133</v>
      </c>
      <c r="D16" s="88">
        <f t="shared" si="2"/>
        <v>23.200000000000006</v>
      </c>
      <c r="E16" s="88">
        <f t="shared" ref="E16:E42" si="6">E15+($E$43-$E$14)/28</f>
        <v>28.571428571428569</v>
      </c>
      <c r="F16" s="88">
        <v>18</v>
      </c>
      <c r="G16" s="89">
        <f t="shared" si="5"/>
        <v>1934.5714285714289</v>
      </c>
      <c r="M16" s="77" t="s">
        <v>115</v>
      </c>
      <c r="N16" s="77">
        <v>36</v>
      </c>
      <c r="O16" s="89">
        <v>2800</v>
      </c>
      <c r="P16" s="88">
        <f t="shared" si="1"/>
        <v>77.777777777777771</v>
      </c>
    </row>
    <row r="17" spans="1:16">
      <c r="A17" s="88">
        <f t="shared" si="3"/>
        <v>138.88888888888889</v>
      </c>
      <c r="B17" s="88">
        <f t="shared" si="4"/>
        <v>99.217391304347856</v>
      </c>
      <c r="C17" s="88">
        <f t="shared" si="0"/>
        <v>41.915820029027586</v>
      </c>
      <c r="D17" s="88">
        <f t="shared" si="2"/>
        <v>24.000000000000007</v>
      </c>
      <c r="E17" s="88">
        <f t="shared" si="6"/>
        <v>28.857142857142854</v>
      </c>
      <c r="F17" s="88">
        <v>19</v>
      </c>
      <c r="G17" s="89">
        <f t="shared" si="5"/>
        <v>2017.2857142857147</v>
      </c>
      <c r="M17" s="77" t="s">
        <v>115</v>
      </c>
      <c r="N17" s="77">
        <v>80</v>
      </c>
      <c r="O17" s="89">
        <v>6000</v>
      </c>
      <c r="P17" s="88">
        <f t="shared" si="1"/>
        <v>75</v>
      </c>
    </row>
    <row r="18" spans="1:16">
      <c r="A18" s="88">
        <f t="shared" si="3"/>
        <v>144.44444444444443</v>
      </c>
      <c r="B18" s="88">
        <f t="shared" si="4"/>
        <v>102.39130434782612</v>
      </c>
      <c r="C18" s="88">
        <f t="shared" si="0"/>
        <v>44.121915820029038</v>
      </c>
      <c r="D18" s="88">
        <f t="shared" si="2"/>
        <v>24.800000000000008</v>
      </c>
      <c r="E18" s="88">
        <f t="shared" si="6"/>
        <v>29.142857142857139</v>
      </c>
      <c r="F18" s="88">
        <v>20</v>
      </c>
      <c r="G18" s="89">
        <v>2100</v>
      </c>
      <c r="M18" s="77" t="s">
        <v>116</v>
      </c>
      <c r="N18" s="77">
        <v>80</v>
      </c>
      <c r="O18" s="89">
        <v>7000</v>
      </c>
      <c r="P18" s="88">
        <f t="shared" si="1"/>
        <v>87.5</v>
      </c>
    </row>
    <row r="19" spans="1:16">
      <c r="A19" s="88">
        <v>150</v>
      </c>
      <c r="B19" s="88">
        <f t="shared" si="4"/>
        <v>105.56521739130439</v>
      </c>
      <c r="C19" s="88">
        <f t="shared" si="0"/>
        <v>46.32801161103049</v>
      </c>
      <c r="D19" s="88">
        <f t="shared" si="2"/>
        <v>25.600000000000009</v>
      </c>
      <c r="E19" s="88">
        <f t="shared" si="6"/>
        <v>29.428571428571423</v>
      </c>
      <c r="F19" s="88">
        <v>21</v>
      </c>
      <c r="G19" s="89">
        <f>G18+($G$28-$G$18)/10</f>
        <v>2150</v>
      </c>
      <c r="M19" s="77" t="s">
        <v>116</v>
      </c>
      <c r="N19" s="77">
        <v>58</v>
      </c>
      <c r="O19" s="89">
        <v>5250</v>
      </c>
      <c r="P19" s="88">
        <f t="shared" si="1"/>
        <v>90.517241379310349</v>
      </c>
    </row>
    <row r="20" spans="1:16">
      <c r="A20" s="88">
        <f>A19+($A$32-$A$19)/13</f>
        <v>153.84615384615384</v>
      </c>
      <c r="B20" s="88">
        <f t="shared" si="4"/>
        <v>108.73913043478265</v>
      </c>
      <c r="C20" s="88">
        <f t="shared" si="0"/>
        <v>48.534107402031943</v>
      </c>
      <c r="D20" s="88">
        <f t="shared" si="2"/>
        <v>26.400000000000009</v>
      </c>
      <c r="E20" s="88">
        <f t="shared" si="6"/>
        <v>29.714285714285708</v>
      </c>
      <c r="F20" s="88">
        <v>22</v>
      </c>
      <c r="G20" s="89">
        <f t="shared" ref="G20:G27" si="7">G19+($G$28-$G$18)/10</f>
        <v>2200</v>
      </c>
      <c r="M20" s="77" t="s">
        <v>116</v>
      </c>
      <c r="N20" s="77">
        <v>49</v>
      </c>
      <c r="O20" s="89">
        <v>4900</v>
      </c>
      <c r="P20" s="88">
        <f t="shared" si="1"/>
        <v>100</v>
      </c>
    </row>
    <row r="21" spans="1:16">
      <c r="A21" s="88">
        <f t="shared" ref="A21:A31" si="8">A20+($A$32-$A$19)/13</f>
        <v>157.69230769230768</v>
      </c>
      <c r="B21" s="88">
        <f t="shared" si="4"/>
        <v>111.91304347826092</v>
      </c>
      <c r="C21" s="88">
        <f t="shared" si="0"/>
        <v>50.740203193033395</v>
      </c>
      <c r="D21" s="88">
        <f t="shared" si="2"/>
        <v>27.20000000000001</v>
      </c>
      <c r="E21" s="88">
        <f t="shared" si="6"/>
        <v>29.999999999999993</v>
      </c>
      <c r="F21" s="88">
        <v>23</v>
      </c>
      <c r="G21" s="89">
        <f t="shared" si="7"/>
        <v>2250</v>
      </c>
      <c r="M21" s="77" t="s">
        <v>116</v>
      </c>
      <c r="N21" s="77">
        <v>36</v>
      </c>
      <c r="O21" s="89">
        <v>3350</v>
      </c>
      <c r="P21" s="88">
        <f t="shared" si="1"/>
        <v>93.055555555555557</v>
      </c>
    </row>
    <row r="22" spans="1:16">
      <c r="A22" s="88">
        <f t="shared" si="8"/>
        <v>161.53846153846152</v>
      </c>
      <c r="B22" s="88">
        <f t="shared" si="4"/>
        <v>115.08695652173918</v>
      </c>
      <c r="C22" s="88">
        <f t="shared" si="0"/>
        <v>51.823899371069189</v>
      </c>
      <c r="D22" s="88">
        <f t="shared" si="2"/>
        <v>28.000000000000011</v>
      </c>
      <c r="E22" s="88">
        <f>E21+($E$43-$E$14)/28</f>
        <v>30.285714285714278</v>
      </c>
      <c r="F22" s="88">
        <f>F21+($F$76-$F$20)/57</f>
        <v>23.491228070175438</v>
      </c>
      <c r="G22" s="89">
        <f t="shared" si="7"/>
        <v>2300</v>
      </c>
      <c r="M22" s="77" t="s">
        <v>116</v>
      </c>
      <c r="N22" s="77">
        <v>28</v>
      </c>
      <c r="O22" s="89">
        <v>1700</v>
      </c>
      <c r="P22" s="88">
        <f t="shared" si="1"/>
        <v>60.714285714285715</v>
      </c>
    </row>
    <row r="23" spans="1:16">
      <c r="A23" s="88">
        <f t="shared" si="8"/>
        <v>165.38461538461536</v>
      </c>
      <c r="B23" s="88">
        <f t="shared" si="4"/>
        <v>118.26086956521745</v>
      </c>
      <c r="C23" s="88">
        <f t="shared" si="0"/>
        <v>52.90759554910499</v>
      </c>
      <c r="D23" s="88">
        <f t="shared" si="2"/>
        <v>28.800000000000011</v>
      </c>
      <c r="E23" s="88">
        <f t="shared" si="6"/>
        <v>30.571428571428562</v>
      </c>
      <c r="F23" s="88">
        <f t="shared" ref="F23:F74" si="9">F22+($F$76-$F$20)/57</f>
        <v>23.982456140350877</v>
      </c>
      <c r="G23" s="89">
        <f t="shared" si="7"/>
        <v>2350</v>
      </c>
      <c r="M23" s="77" t="s">
        <v>116</v>
      </c>
      <c r="N23" s="77">
        <v>18</v>
      </c>
      <c r="O23" s="89">
        <v>1350</v>
      </c>
      <c r="P23" s="88">
        <f t="shared" si="1"/>
        <v>75</v>
      </c>
    </row>
    <row r="24" spans="1:16">
      <c r="A24" s="88">
        <f t="shared" si="8"/>
        <v>169.2307692307692</v>
      </c>
      <c r="B24" s="88">
        <f t="shared" si="4"/>
        <v>121.43478260869571</v>
      </c>
      <c r="C24" s="88">
        <f t="shared" si="0"/>
        <v>53.991291727140791</v>
      </c>
      <c r="D24" s="88">
        <f t="shared" si="2"/>
        <v>29.600000000000012</v>
      </c>
      <c r="E24" s="88">
        <f t="shared" si="6"/>
        <v>30.857142857142847</v>
      </c>
      <c r="F24" s="88">
        <f t="shared" si="9"/>
        <v>24.473684210526315</v>
      </c>
      <c r="G24" s="89">
        <f t="shared" si="7"/>
        <v>2400</v>
      </c>
      <c r="M24" s="77" t="s">
        <v>116</v>
      </c>
      <c r="N24" s="77">
        <v>11</v>
      </c>
      <c r="O24" s="89">
        <v>900</v>
      </c>
      <c r="P24" s="88">
        <f t="shared" si="1"/>
        <v>81.818181818181813</v>
      </c>
    </row>
    <row r="25" spans="1:16">
      <c r="A25" s="88">
        <f t="shared" si="8"/>
        <v>173.07692307692304</v>
      </c>
      <c r="B25" s="88">
        <f t="shared" si="4"/>
        <v>124.60869565217398</v>
      </c>
      <c r="C25" s="88">
        <f t="shared" si="0"/>
        <v>55.074987905176592</v>
      </c>
      <c r="D25" s="88">
        <f t="shared" si="2"/>
        <v>30.400000000000013</v>
      </c>
      <c r="E25" s="88">
        <f t="shared" si="6"/>
        <v>31.142857142857132</v>
      </c>
      <c r="F25" s="88">
        <f t="shared" si="9"/>
        <v>24.964912280701753</v>
      </c>
      <c r="G25" s="89">
        <f t="shared" si="7"/>
        <v>2450</v>
      </c>
      <c r="M25" s="77" t="s">
        <v>122</v>
      </c>
      <c r="N25" s="77">
        <v>5.5</v>
      </c>
      <c r="O25" s="89">
        <v>470</v>
      </c>
      <c r="P25" s="88">
        <f t="shared" si="1"/>
        <v>85.454545454545453</v>
      </c>
    </row>
    <row r="26" spans="1:16">
      <c r="A26" s="88">
        <f t="shared" si="8"/>
        <v>176.92307692307688</v>
      </c>
      <c r="B26" s="88">
        <f t="shared" si="4"/>
        <v>127.78260869565224</v>
      </c>
      <c r="C26" s="88">
        <f t="shared" si="0"/>
        <v>56.158684083212393</v>
      </c>
      <c r="D26" s="88">
        <f t="shared" si="2"/>
        <v>31.200000000000014</v>
      </c>
      <c r="E26" s="88">
        <f t="shared" si="6"/>
        <v>31.428571428571416</v>
      </c>
      <c r="F26" s="88">
        <f t="shared" si="9"/>
        <v>25.456140350877192</v>
      </c>
      <c r="G26" s="89">
        <f t="shared" si="7"/>
        <v>2500</v>
      </c>
      <c r="M26" s="77" t="s">
        <v>122</v>
      </c>
      <c r="N26" s="77">
        <v>8</v>
      </c>
      <c r="O26" s="89">
        <v>806</v>
      </c>
      <c r="P26" s="88">
        <f t="shared" si="1"/>
        <v>100.75</v>
      </c>
    </row>
    <row r="27" spans="1:16">
      <c r="A27" s="88">
        <f t="shared" si="8"/>
        <v>180.76923076923072</v>
      </c>
      <c r="B27" s="88">
        <f t="shared" si="4"/>
        <v>130.95652173913049</v>
      </c>
      <c r="C27" s="88">
        <f t="shared" si="0"/>
        <v>57.242380261248194</v>
      </c>
      <c r="D27" s="88">
        <f t="shared" si="2"/>
        <v>32.000000000000014</v>
      </c>
      <c r="E27" s="88">
        <f t="shared" si="6"/>
        <v>31.714285714285701</v>
      </c>
      <c r="F27" s="88">
        <f t="shared" si="9"/>
        <v>25.94736842105263</v>
      </c>
      <c r="G27" s="89">
        <f t="shared" si="7"/>
        <v>2550</v>
      </c>
      <c r="M27" s="77" t="s">
        <v>122</v>
      </c>
      <c r="N27" s="77">
        <v>10</v>
      </c>
      <c r="O27" s="89">
        <v>1055</v>
      </c>
      <c r="P27" s="88">
        <f t="shared" si="1"/>
        <v>105.5</v>
      </c>
    </row>
    <row r="28" spans="1:16">
      <c r="A28" s="88">
        <f t="shared" si="8"/>
        <v>184.61538461538456</v>
      </c>
      <c r="B28" s="88">
        <f t="shared" si="4"/>
        <v>134.13043478260875</v>
      </c>
      <c r="C28" s="88">
        <f t="shared" si="0"/>
        <v>58.326076439283995</v>
      </c>
      <c r="D28" s="88">
        <f t="shared" si="2"/>
        <v>32.800000000000011</v>
      </c>
      <c r="E28" s="88">
        <f t="shared" si="6"/>
        <v>31.999999999999986</v>
      </c>
      <c r="F28" s="88">
        <f t="shared" si="9"/>
        <v>26.438596491228068</v>
      </c>
      <c r="G28" s="89">
        <v>2600</v>
      </c>
      <c r="M28" s="77" t="s">
        <v>122</v>
      </c>
      <c r="N28" s="77">
        <v>13</v>
      </c>
      <c r="O28" s="89">
        <v>1521</v>
      </c>
      <c r="P28" s="88">
        <f t="shared" si="1"/>
        <v>117</v>
      </c>
    </row>
    <row r="29" spans="1:16">
      <c r="A29" s="88">
        <f t="shared" si="8"/>
        <v>188.4615384615384</v>
      </c>
      <c r="B29" s="88">
        <f t="shared" si="4"/>
        <v>137.304347826087</v>
      </c>
      <c r="C29" s="88">
        <f t="shared" si="0"/>
        <v>59.409772617319796</v>
      </c>
      <c r="D29" s="88">
        <f t="shared" si="2"/>
        <v>33.600000000000009</v>
      </c>
      <c r="E29" s="88">
        <f t="shared" si="6"/>
        <v>32.28571428571427</v>
      </c>
      <c r="F29" s="88">
        <f t="shared" si="9"/>
        <v>26.929824561403507</v>
      </c>
      <c r="G29" s="89">
        <v>2650</v>
      </c>
      <c r="M29" s="77" t="s">
        <v>122</v>
      </c>
      <c r="N29" s="77">
        <v>20</v>
      </c>
      <c r="O29" s="89">
        <v>2100</v>
      </c>
      <c r="P29" s="88">
        <f t="shared" si="1"/>
        <v>105</v>
      </c>
    </row>
    <row r="30" spans="1:16">
      <c r="A30" s="88">
        <f t="shared" si="8"/>
        <v>192.30769230769224</v>
      </c>
      <c r="B30" s="88">
        <f t="shared" si="4"/>
        <v>140.47826086956525</v>
      </c>
      <c r="C30" s="88">
        <f t="shared" si="0"/>
        <v>60.493468795355597</v>
      </c>
      <c r="D30" s="88">
        <f t="shared" si="2"/>
        <v>34.400000000000006</v>
      </c>
      <c r="E30" s="88">
        <f t="shared" si="6"/>
        <v>32.571428571428555</v>
      </c>
      <c r="F30" s="88">
        <f t="shared" si="9"/>
        <v>27.421052631578945</v>
      </c>
      <c r="G30" s="89">
        <v>2700</v>
      </c>
      <c r="M30" s="77" t="s">
        <v>122</v>
      </c>
      <c r="N30" s="77">
        <v>30</v>
      </c>
      <c r="O30" s="89">
        <v>2600</v>
      </c>
      <c r="P30" s="88">
        <f t="shared" si="1"/>
        <v>86.666666666666671</v>
      </c>
    </row>
    <row r="31" spans="1:16">
      <c r="A31" s="88">
        <f t="shared" si="8"/>
        <v>196.15384615384608</v>
      </c>
      <c r="B31" s="88">
        <f t="shared" si="4"/>
        <v>143.6521739130435</v>
      </c>
      <c r="C31" s="88">
        <f t="shared" si="0"/>
        <v>61.577164973391397</v>
      </c>
      <c r="D31" s="88">
        <f t="shared" si="2"/>
        <v>35.200000000000003</v>
      </c>
      <c r="E31" s="88">
        <f t="shared" si="6"/>
        <v>32.85714285714284</v>
      </c>
      <c r="F31" s="88">
        <f t="shared" si="9"/>
        <v>27.912280701754383</v>
      </c>
      <c r="G31" s="89">
        <v>2750</v>
      </c>
    </row>
    <row r="32" spans="1:16">
      <c r="A32" s="88">
        <v>200</v>
      </c>
      <c r="B32" s="88">
        <f t="shared" si="4"/>
        <v>146.82608695652175</v>
      </c>
      <c r="C32" s="88">
        <f t="shared" si="0"/>
        <v>62.660861151427198</v>
      </c>
      <c r="D32" s="88">
        <v>36</v>
      </c>
      <c r="E32" s="88">
        <f t="shared" si="6"/>
        <v>33.142857142857125</v>
      </c>
      <c r="F32" s="88">
        <f t="shared" si="9"/>
        <v>28.403508771929822</v>
      </c>
      <c r="G32" s="89">
        <v>2800</v>
      </c>
    </row>
    <row r="33" spans="1:7">
      <c r="A33" s="88">
        <f>A32+($A$60-$A$32)/28</f>
        <v>203.57142857142858</v>
      </c>
      <c r="B33" s="88">
        <v>150</v>
      </c>
      <c r="C33" s="88">
        <f t="shared" si="0"/>
        <v>63.744557329462992</v>
      </c>
      <c r="D33" s="88">
        <f>D32+($D$96-$D$32)/65</f>
        <v>36.676923076923075</v>
      </c>
      <c r="E33" s="88">
        <f t="shared" si="6"/>
        <v>33.428571428571409</v>
      </c>
      <c r="F33" s="88">
        <f t="shared" si="9"/>
        <v>28.89473684210526</v>
      </c>
      <c r="G33" s="89">
        <v>2850</v>
      </c>
    </row>
    <row r="34" spans="1:7">
      <c r="A34" s="88">
        <f t="shared" ref="A34:A59" si="10">A33+($A$60-$A$32)/28</f>
        <v>207.14285714285717</v>
      </c>
      <c r="B34" s="88">
        <f>B33-B32+B33</f>
        <v>153.17391304347825</v>
      </c>
      <c r="C34" s="88">
        <f t="shared" si="0"/>
        <v>64.8282535074988</v>
      </c>
      <c r="D34" s="88">
        <f t="shared" ref="D34:D95" si="11">D33+($D$96-$D$32)/65</f>
        <v>37.353846153846149</v>
      </c>
      <c r="E34" s="88">
        <f t="shared" si="6"/>
        <v>33.714285714285694</v>
      </c>
      <c r="F34" s="88">
        <f t="shared" si="9"/>
        <v>29.385964912280699</v>
      </c>
      <c r="G34" s="89">
        <v>2900</v>
      </c>
    </row>
    <row r="35" spans="1:7">
      <c r="A35" s="88">
        <f t="shared" si="10"/>
        <v>210.71428571428575</v>
      </c>
      <c r="B35" s="88">
        <f t="shared" ref="B35:B50" si="12">B34-B33+B34</f>
        <v>156.3478260869565</v>
      </c>
      <c r="C35" s="88">
        <f t="shared" si="0"/>
        <v>65.911949685534594</v>
      </c>
      <c r="D35" s="88">
        <f t="shared" si="11"/>
        <v>38.030769230769224</v>
      </c>
      <c r="E35" s="88">
        <f t="shared" si="6"/>
        <v>33.999999999999979</v>
      </c>
      <c r="F35" s="88">
        <f t="shared" si="9"/>
        <v>29.877192982456137</v>
      </c>
      <c r="G35" s="89">
        <v>2950</v>
      </c>
    </row>
    <row r="36" spans="1:7">
      <c r="A36" s="88">
        <f t="shared" si="10"/>
        <v>214.28571428571433</v>
      </c>
      <c r="B36" s="88">
        <f t="shared" si="12"/>
        <v>159.52173913043475</v>
      </c>
      <c r="C36" s="88">
        <f t="shared" si="0"/>
        <v>66.995645863570402</v>
      </c>
      <c r="D36" s="88">
        <f t="shared" si="11"/>
        <v>38.707692307692298</v>
      </c>
      <c r="E36" s="88">
        <f t="shared" si="6"/>
        <v>34.285714285714263</v>
      </c>
      <c r="F36" s="88">
        <f t="shared" si="9"/>
        <v>30.368421052631575</v>
      </c>
      <c r="G36" s="89">
        <v>3000</v>
      </c>
    </row>
    <row r="37" spans="1:7">
      <c r="A37" s="88">
        <f t="shared" si="10"/>
        <v>217.85714285714292</v>
      </c>
      <c r="B37" s="88">
        <f t="shared" si="12"/>
        <v>162.695652173913</v>
      </c>
      <c r="C37" s="88">
        <f t="shared" si="0"/>
        <v>68.079342041606196</v>
      </c>
      <c r="D37" s="88">
        <f t="shared" si="11"/>
        <v>39.384615384615373</v>
      </c>
      <c r="E37" s="88">
        <f t="shared" si="6"/>
        <v>34.571428571428548</v>
      </c>
      <c r="F37" s="88">
        <f t="shared" si="9"/>
        <v>30.859649122807014</v>
      </c>
      <c r="G37" s="89">
        <v>3050</v>
      </c>
    </row>
    <row r="38" spans="1:7">
      <c r="A38" s="88">
        <f t="shared" si="10"/>
        <v>221.4285714285715</v>
      </c>
      <c r="B38" s="88">
        <f t="shared" si="12"/>
        <v>165.86956521739125</v>
      </c>
      <c r="C38" s="88">
        <f t="shared" si="0"/>
        <v>69.163038219642004</v>
      </c>
      <c r="D38" s="88">
        <f t="shared" si="11"/>
        <v>40.061538461538447</v>
      </c>
      <c r="E38" s="88">
        <f t="shared" si="6"/>
        <v>34.857142857142833</v>
      </c>
      <c r="F38" s="88">
        <f t="shared" si="9"/>
        <v>31.350877192982452</v>
      </c>
      <c r="G38" s="89">
        <v>3100</v>
      </c>
    </row>
    <row r="39" spans="1:7">
      <c r="A39" s="88">
        <f t="shared" si="10"/>
        <v>225.00000000000009</v>
      </c>
      <c r="B39" s="88">
        <f t="shared" si="12"/>
        <v>169.04347826086951</v>
      </c>
      <c r="C39" s="88">
        <f t="shared" si="0"/>
        <v>70.246734397677798</v>
      </c>
      <c r="D39" s="88">
        <f t="shared" si="11"/>
        <v>40.738461538461522</v>
      </c>
      <c r="E39" s="88">
        <f t="shared" si="6"/>
        <v>35.142857142857117</v>
      </c>
      <c r="F39" s="88">
        <f t="shared" si="9"/>
        <v>31.84210526315789</v>
      </c>
      <c r="G39" s="89">
        <v>3150</v>
      </c>
    </row>
    <row r="40" spans="1:7">
      <c r="A40" s="88">
        <f t="shared" si="10"/>
        <v>228.57142857142867</v>
      </c>
      <c r="B40" s="88">
        <f t="shared" si="12"/>
        <v>172.21739130434776</v>
      </c>
      <c r="C40" s="88">
        <f t="shared" si="0"/>
        <v>71.330430575713592</v>
      </c>
      <c r="D40" s="88">
        <f t="shared" si="11"/>
        <v>41.415384615384596</v>
      </c>
      <c r="E40" s="88">
        <f t="shared" si="6"/>
        <v>35.428571428571402</v>
      </c>
      <c r="F40" s="88">
        <f t="shared" si="9"/>
        <v>32.333333333333329</v>
      </c>
      <c r="G40" s="89">
        <v>3200</v>
      </c>
    </row>
    <row r="41" spans="1:7">
      <c r="A41" s="88">
        <f t="shared" si="10"/>
        <v>232.14285714285725</v>
      </c>
      <c r="B41" s="88">
        <f t="shared" si="12"/>
        <v>175.39130434782601</v>
      </c>
      <c r="C41" s="88">
        <f t="shared" si="0"/>
        <v>72.4141267537494</v>
      </c>
      <c r="D41" s="88">
        <f t="shared" si="11"/>
        <v>42.092307692307671</v>
      </c>
      <c r="E41" s="88">
        <f t="shared" si="6"/>
        <v>35.714285714285687</v>
      </c>
      <c r="F41" s="88">
        <f t="shared" si="9"/>
        <v>32.824561403508767</v>
      </c>
      <c r="G41" s="89">
        <v>3250</v>
      </c>
    </row>
    <row r="42" spans="1:7">
      <c r="A42" s="88">
        <f t="shared" si="10"/>
        <v>235.71428571428584</v>
      </c>
      <c r="B42" s="88">
        <f t="shared" si="12"/>
        <v>178.56521739130426</v>
      </c>
      <c r="C42" s="88">
        <f t="shared" si="0"/>
        <v>73.497822931785194</v>
      </c>
      <c r="D42" s="88">
        <f t="shared" si="11"/>
        <v>42.769230769230745</v>
      </c>
      <c r="E42" s="88">
        <f t="shared" si="6"/>
        <v>35.999999999999972</v>
      </c>
      <c r="F42" s="88">
        <f t="shared" si="9"/>
        <v>33.315789473684205</v>
      </c>
      <c r="G42" s="89">
        <v>3300</v>
      </c>
    </row>
    <row r="43" spans="1:7">
      <c r="A43" s="88">
        <f t="shared" si="10"/>
        <v>239.28571428571442</v>
      </c>
      <c r="B43" s="88">
        <f t="shared" si="12"/>
        <v>181.73913043478251</v>
      </c>
      <c r="C43" s="88">
        <f t="shared" si="0"/>
        <v>74.581519109821002</v>
      </c>
      <c r="D43" s="88">
        <f t="shared" si="11"/>
        <v>43.44615384615382</v>
      </c>
      <c r="E43" s="88">
        <v>36</v>
      </c>
      <c r="F43" s="88">
        <f t="shared" si="9"/>
        <v>33.807017543859644</v>
      </c>
      <c r="G43" s="89">
        <v>3350</v>
      </c>
    </row>
    <row r="44" spans="1:7">
      <c r="A44" s="88">
        <f t="shared" si="10"/>
        <v>242.857142857143</v>
      </c>
      <c r="B44" s="88">
        <f t="shared" si="12"/>
        <v>184.91304347826076</v>
      </c>
      <c r="C44" s="88">
        <f t="shared" si="0"/>
        <v>75.665215287856796</v>
      </c>
      <c r="D44" s="88">
        <f t="shared" si="11"/>
        <v>44.123076923076894</v>
      </c>
      <c r="E44" s="88">
        <f>E43+($E$74-$E$43)/31</f>
        <v>36.516129032258064</v>
      </c>
      <c r="F44" s="88">
        <f t="shared" si="9"/>
        <v>34.298245614035082</v>
      </c>
      <c r="G44" s="89">
        <v>3400</v>
      </c>
    </row>
    <row r="45" spans="1:7">
      <c r="A45" s="88">
        <f t="shared" si="10"/>
        <v>246.42857142857159</v>
      </c>
      <c r="B45" s="88">
        <f t="shared" si="12"/>
        <v>188.08695652173901</v>
      </c>
      <c r="C45" s="88">
        <f t="shared" si="0"/>
        <v>76.748911465892604</v>
      </c>
      <c r="D45" s="88">
        <f t="shared" si="11"/>
        <v>44.799999999999969</v>
      </c>
      <c r="E45" s="88">
        <f t="shared" ref="E45:E73" si="13">E44+($E$74-$E$43)/31</f>
        <v>37.032258064516128</v>
      </c>
      <c r="F45" s="88">
        <f t="shared" si="9"/>
        <v>34.78947368421052</v>
      </c>
      <c r="G45" s="89">
        <v>3450</v>
      </c>
    </row>
    <row r="46" spans="1:7">
      <c r="A46" s="88">
        <f t="shared" si="10"/>
        <v>250.00000000000017</v>
      </c>
      <c r="B46" s="88">
        <f t="shared" si="12"/>
        <v>191.26086956521726</v>
      </c>
      <c r="C46" s="88">
        <f t="shared" si="0"/>
        <v>77.832607643928398</v>
      </c>
      <c r="D46" s="88">
        <f t="shared" si="11"/>
        <v>45.476923076923043</v>
      </c>
      <c r="E46" s="88">
        <f t="shared" si="13"/>
        <v>37.548387096774192</v>
      </c>
      <c r="F46" s="88">
        <f t="shared" si="9"/>
        <v>35.280701754385959</v>
      </c>
      <c r="G46" s="89">
        <v>3500</v>
      </c>
    </row>
    <row r="47" spans="1:7">
      <c r="A47" s="88">
        <f t="shared" si="10"/>
        <v>253.57142857142875</v>
      </c>
      <c r="B47" s="88">
        <f t="shared" si="12"/>
        <v>194.43478260869551</v>
      </c>
      <c r="C47" s="88">
        <f t="shared" si="0"/>
        <v>78.916303821964206</v>
      </c>
      <c r="D47" s="88">
        <f t="shared" si="11"/>
        <v>46.153846153846118</v>
      </c>
      <c r="E47" s="88">
        <f t="shared" si="13"/>
        <v>38.064516129032256</v>
      </c>
      <c r="F47" s="88">
        <f t="shared" si="9"/>
        <v>35.771929824561397</v>
      </c>
      <c r="G47" s="89">
        <v>3550</v>
      </c>
    </row>
    <row r="48" spans="1:7">
      <c r="A48" s="88">
        <f t="shared" si="10"/>
        <v>257.14285714285734</v>
      </c>
      <c r="B48" s="88">
        <f t="shared" si="12"/>
        <v>197.60869565217376</v>
      </c>
      <c r="C48" s="88">
        <v>80</v>
      </c>
      <c r="D48" s="88">
        <f t="shared" si="11"/>
        <v>46.830769230769192</v>
      </c>
      <c r="E48" s="88">
        <f t="shared" si="13"/>
        <v>38.58064516129032</v>
      </c>
      <c r="F48" s="88">
        <f t="shared" si="9"/>
        <v>36.263157894736835</v>
      </c>
      <c r="G48" s="89">
        <v>3600</v>
      </c>
    </row>
    <row r="49" spans="1:7">
      <c r="A49" s="88">
        <f t="shared" si="10"/>
        <v>260.71428571428589</v>
      </c>
      <c r="B49" s="88">
        <f t="shared" si="12"/>
        <v>200.78260869565202</v>
      </c>
      <c r="C49" s="88">
        <f>C48+($C$96-$C$48)/48</f>
        <v>80.9375</v>
      </c>
      <c r="D49" s="88">
        <f t="shared" si="11"/>
        <v>47.507692307692267</v>
      </c>
      <c r="E49" s="88">
        <f t="shared" si="13"/>
        <v>39.096774193548384</v>
      </c>
      <c r="F49" s="88">
        <f t="shared" si="9"/>
        <v>36.754385964912274</v>
      </c>
      <c r="G49" s="89">
        <v>3650</v>
      </c>
    </row>
    <row r="50" spans="1:7">
      <c r="A50" s="88">
        <f t="shared" si="10"/>
        <v>264.28571428571445</v>
      </c>
      <c r="B50" s="88">
        <f t="shared" si="12"/>
        <v>203.95652173913027</v>
      </c>
      <c r="C50" s="88">
        <f t="shared" ref="C50:C95" si="14">C49+($C$96-$C$48)/48</f>
        <v>81.875</v>
      </c>
      <c r="D50" s="88">
        <f t="shared" si="11"/>
        <v>48.184615384615341</v>
      </c>
      <c r="E50" s="88">
        <f t="shared" si="13"/>
        <v>39.612903225806448</v>
      </c>
      <c r="F50" s="88">
        <f t="shared" si="9"/>
        <v>37.245614035087712</v>
      </c>
      <c r="G50" s="89">
        <v>3700</v>
      </c>
    </row>
    <row r="51" spans="1:7">
      <c r="A51" s="88">
        <f t="shared" si="10"/>
        <v>267.857142857143</v>
      </c>
      <c r="B51" s="88">
        <f t="shared" ref="A51:B66" si="15">B50-B49+B50</f>
        <v>207.13043478260852</v>
      </c>
      <c r="C51" s="88">
        <f t="shared" si="14"/>
        <v>82.8125</v>
      </c>
      <c r="D51" s="88">
        <f t="shared" si="11"/>
        <v>48.861538461538416</v>
      </c>
      <c r="E51" s="88">
        <f t="shared" si="13"/>
        <v>40.129032258064512</v>
      </c>
      <c r="F51" s="88">
        <f t="shared" si="9"/>
        <v>37.73684210526315</v>
      </c>
      <c r="G51" s="89">
        <v>3750</v>
      </c>
    </row>
    <row r="52" spans="1:7">
      <c r="A52" s="88">
        <f t="shared" si="10"/>
        <v>271.42857142857156</v>
      </c>
      <c r="B52" s="88">
        <f t="shared" si="15"/>
        <v>210.30434782608677</v>
      </c>
      <c r="C52" s="88">
        <f t="shared" si="14"/>
        <v>83.75</v>
      </c>
      <c r="D52" s="88">
        <f t="shared" si="11"/>
        <v>49.53846153846149</v>
      </c>
      <c r="E52" s="88">
        <f t="shared" si="13"/>
        <v>40.645161290322577</v>
      </c>
      <c r="F52" s="88">
        <f t="shared" si="9"/>
        <v>38.228070175438589</v>
      </c>
      <c r="G52" s="89">
        <v>3800</v>
      </c>
    </row>
    <row r="53" spans="1:7">
      <c r="A53" s="88">
        <f t="shared" si="10"/>
        <v>275.00000000000011</v>
      </c>
      <c r="B53" s="88">
        <f t="shared" si="15"/>
        <v>213.47826086956502</v>
      </c>
      <c r="C53" s="88">
        <f t="shared" si="14"/>
        <v>84.6875</v>
      </c>
      <c r="D53" s="88">
        <f t="shared" si="11"/>
        <v>50.215384615384565</v>
      </c>
      <c r="E53" s="88">
        <f t="shared" si="13"/>
        <v>41.161290322580641</v>
      </c>
      <c r="F53" s="88">
        <f t="shared" si="9"/>
        <v>38.719298245614027</v>
      </c>
      <c r="G53" s="89">
        <v>3850</v>
      </c>
    </row>
    <row r="54" spans="1:7">
      <c r="A54" s="88">
        <f t="shared" si="10"/>
        <v>278.57142857142867</v>
      </c>
      <c r="B54" s="88">
        <f t="shared" si="15"/>
        <v>216.65217391304327</v>
      </c>
      <c r="C54" s="88">
        <f t="shared" si="14"/>
        <v>85.625</v>
      </c>
      <c r="D54" s="88">
        <f t="shared" si="11"/>
        <v>50.892307692307639</v>
      </c>
      <c r="E54" s="88">
        <f t="shared" si="13"/>
        <v>41.677419354838705</v>
      </c>
      <c r="F54" s="88">
        <f t="shared" si="9"/>
        <v>39.210526315789465</v>
      </c>
      <c r="G54" s="89">
        <v>3900</v>
      </c>
    </row>
    <row r="55" spans="1:7">
      <c r="A55" s="88">
        <f t="shared" si="10"/>
        <v>282.14285714285722</v>
      </c>
      <c r="B55" s="88">
        <f t="shared" si="15"/>
        <v>219.82608695652152</v>
      </c>
      <c r="C55" s="88">
        <f t="shared" si="14"/>
        <v>86.5625</v>
      </c>
      <c r="D55" s="88">
        <f t="shared" si="11"/>
        <v>51.569230769230714</v>
      </c>
      <c r="E55" s="88">
        <f t="shared" si="13"/>
        <v>42.193548387096769</v>
      </c>
      <c r="F55" s="88">
        <f t="shared" si="9"/>
        <v>39.701754385964904</v>
      </c>
      <c r="G55" s="89">
        <v>3950</v>
      </c>
    </row>
    <row r="56" spans="1:7">
      <c r="A56" s="88">
        <f t="shared" si="10"/>
        <v>285.71428571428578</v>
      </c>
      <c r="B56" s="88">
        <f t="shared" si="15"/>
        <v>222.99999999999977</v>
      </c>
      <c r="C56" s="88">
        <f t="shared" si="14"/>
        <v>87.5</v>
      </c>
      <c r="D56" s="88">
        <f t="shared" si="11"/>
        <v>52.246153846153788</v>
      </c>
      <c r="E56" s="88">
        <f t="shared" si="13"/>
        <v>42.709677419354833</v>
      </c>
      <c r="F56" s="88">
        <f t="shared" si="9"/>
        <v>40.192982456140342</v>
      </c>
      <c r="G56" s="89">
        <v>4000</v>
      </c>
    </row>
    <row r="57" spans="1:7">
      <c r="A57" s="88">
        <f t="shared" si="10"/>
        <v>289.28571428571433</v>
      </c>
      <c r="B57" s="88">
        <f t="shared" si="15"/>
        <v>226.17391304347802</v>
      </c>
      <c r="C57" s="88">
        <f t="shared" si="14"/>
        <v>88.4375</v>
      </c>
      <c r="D57" s="88">
        <f t="shared" si="11"/>
        <v>52.923076923076863</v>
      </c>
      <c r="E57" s="88">
        <f t="shared" si="13"/>
        <v>43.225806451612897</v>
      </c>
      <c r="F57" s="88">
        <f t="shared" si="9"/>
        <v>40.68421052631578</v>
      </c>
      <c r="G57" s="89">
        <v>4050</v>
      </c>
    </row>
    <row r="58" spans="1:7">
      <c r="A58" s="88">
        <f t="shared" si="10"/>
        <v>292.85714285714289</v>
      </c>
      <c r="B58" s="88">
        <f t="shared" si="15"/>
        <v>229.34782608695627</v>
      </c>
      <c r="C58" s="88">
        <f t="shared" si="14"/>
        <v>89.375</v>
      </c>
      <c r="D58" s="88">
        <f t="shared" si="11"/>
        <v>53.599999999999937</v>
      </c>
      <c r="E58" s="88">
        <f t="shared" si="13"/>
        <v>43.741935483870961</v>
      </c>
      <c r="F58" s="88">
        <f t="shared" si="9"/>
        <v>41.175438596491219</v>
      </c>
      <c r="G58" s="89">
        <v>4100</v>
      </c>
    </row>
    <row r="59" spans="1:7">
      <c r="A59" s="88">
        <f t="shared" si="10"/>
        <v>296.42857142857144</v>
      </c>
      <c r="B59" s="88">
        <f t="shared" si="15"/>
        <v>232.52173913043453</v>
      </c>
      <c r="C59" s="88">
        <f t="shared" si="14"/>
        <v>90.3125</v>
      </c>
      <c r="D59" s="88">
        <f t="shared" si="11"/>
        <v>54.276923076923012</v>
      </c>
      <c r="E59" s="88">
        <f t="shared" si="13"/>
        <v>44.258064516129025</v>
      </c>
      <c r="F59" s="88">
        <f t="shared" si="9"/>
        <v>41.666666666666657</v>
      </c>
      <c r="G59" s="89">
        <v>4150</v>
      </c>
    </row>
    <row r="60" spans="1:7">
      <c r="A60" s="88">
        <v>300</v>
      </c>
      <c r="B60" s="88">
        <f t="shared" si="15"/>
        <v>235.69565217391278</v>
      </c>
      <c r="C60" s="88">
        <f t="shared" si="14"/>
        <v>91.25</v>
      </c>
      <c r="D60" s="88">
        <f t="shared" si="11"/>
        <v>54.953846153846087</v>
      </c>
      <c r="E60" s="88">
        <f t="shared" si="13"/>
        <v>44.774193548387089</v>
      </c>
      <c r="F60" s="88">
        <f t="shared" si="9"/>
        <v>42.157894736842096</v>
      </c>
      <c r="G60" s="89">
        <v>4200</v>
      </c>
    </row>
    <row r="61" spans="1:7">
      <c r="A61" s="88">
        <f t="shared" si="15"/>
        <v>303.57142857142856</v>
      </c>
      <c r="B61" s="88">
        <f t="shared" si="15"/>
        <v>238.86956521739103</v>
      </c>
      <c r="C61" s="88">
        <f t="shared" si="14"/>
        <v>92.1875</v>
      </c>
      <c r="D61" s="88">
        <f t="shared" si="11"/>
        <v>55.630769230769161</v>
      </c>
      <c r="E61" s="88">
        <f t="shared" si="13"/>
        <v>45.290322580645153</v>
      </c>
      <c r="F61" s="88">
        <f t="shared" si="9"/>
        <v>42.649122807017534</v>
      </c>
      <c r="G61" s="89">
        <v>4250</v>
      </c>
    </row>
    <row r="62" spans="1:7">
      <c r="A62" s="88">
        <f t="shared" si="15"/>
        <v>307.14285714285711</v>
      </c>
      <c r="B62" s="88">
        <f t="shared" si="15"/>
        <v>242.04347826086928</v>
      </c>
      <c r="C62" s="88">
        <f t="shared" si="14"/>
        <v>93.125</v>
      </c>
      <c r="D62" s="88">
        <f t="shared" si="11"/>
        <v>56.307692307692236</v>
      </c>
      <c r="E62" s="88">
        <f t="shared" si="13"/>
        <v>45.806451612903217</v>
      </c>
      <c r="F62" s="88">
        <f t="shared" si="9"/>
        <v>43.140350877192972</v>
      </c>
      <c r="G62" s="89">
        <v>4300</v>
      </c>
    </row>
    <row r="63" spans="1:7">
      <c r="A63" s="88">
        <f t="shared" si="15"/>
        <v>310.71428571428567</v>
      </c>
      <c r="B63" s="88">
        <f t="shared" si="15"/>
        <v>245.21739130434753</v>
      </c>
      <c r="C63" s="88">
        <f t="shared" si="14"/>
        <v>94.0625</v>
      </c>
      <c r="D63" s="88">
        <f t="shared" si="11"/>
        <v>56.98461538461531</v>
      </c>
      <c r="E63" s="88">
        <f t="shared" si="13"/>
        <v>46.322580645161281</v>
      </c>
      <c r="F63" s="88">
        <f t="shared" si="9"/>
        <v>43.631578947368411</v>
      </c>
      <c r="G63" s="89">
        <v>4350</v>
      </c>
    </row>
    <row r="64" spans="1:7">
      <c r="A64" s="88">
        <f t="shared" si="15"/>
        <v>314.28571428571422</v>
      </c>
      <c r="B64" s="88">
        <f t="shared" si="15"/>
        <v>248.39130434782578</v>
      </c>
      <c r="C64" s="88">
        <f t="shared" si="14"/>
        <v>95</v>
      </c>
      <c r="D64" s="88">
        <f t="shared" si="11"/>
        <v>57.661538461538385</v>
      </c>
      <c r="E64" s="88">
        <f t="shared" si="13"/>
        <v>46.838709677419345</v>
      </c>
      <c r="F64" s="88">
        <f t="shared" si="9"/>
        <v>44.122807017543849</v>
      </c>
      <c r="G64" s="89">
        <v>4400</v>
      </c>
    </row>
    <row r="65" spans="1:7">
      <c r="A65" s="88">
        <f t="shared" si="15"/>
        <v>317.85714285714278</v>
      </c>
      <c r="B65" s="88">
        <f t="shared" si="15"/>
        <v>251.56521739130403</v>
      </c>
      <c r="C65" s="88">
        <f t="shared" si="14"/>
        <v>95.9375</v>
      </c>
      <c r="D65" s="88">
        <f t="shared" si="11"/>
        <v>58.338461538461459</v>
      </c>
      <c r="E65" s="88">
        <f t="shared" si="13"/>
        <v>47.354838709677409</v>
      </c>
      <c r="F65" s="88">
        <f t="shared" si="9"/>
        <v>44.614035087719287</v>
      </c>
      <c r="G65" s="89">
        <v>4450</v>
      </c>
    </row>
    <row r="66" spans="1:7">
      <c r="A66" s="88">
        <f t="shared" si="15"/>
        <v>321.42857142857133</v>
      </c>
      <c r="B66" s="88">
        <f t="shared" si="15"/>
        <v>254.73913043478228</v>
      </c>
      <c r="C66" s="88">
        <f t="shared" si="14"/>
        <v>96.875</v>
      </c>
      <c r="D66" s="88">
        <f t="shared" si="11"/>
        <v>59.015384615384534</v>
      </c>
      <c r="E66" s="88">
        <f t="shared" si="13"/>
        <v>47.870967741935473</v>
      </c>
      <c r="F66" s="88">
        <f t="shared" si="9"/>
        <v>45.105263157894726</v>
      </c>
      <c r="G66" s="89">
        <v>4500</v>
      </c>
    </row>
    <row r="67" spans="1:7">
      <c r="A67" s="88">
        <f t="shared" ref="A67:B82" si="16">A66-A65+A66</f>
        <v>324.99999999999989</v>
      </c>
      <c r="B67" s="88">
        <f t="shared" si="16"/>
        <v>257.91304347826053</v>
      </c>
      <c r="C67" s="88">
        <f t="shared" si="14"/>
        <v>97.8125</v>
      </c>
      <c r="D67" s="88">
        <f t="shared" si="11"/>
        <v>59.692307692307608</v>
      </c>
      <c r="E67" s="88">
        <f t="shared" si="13"/>
        <v>48.387096774193537</v>
      </c>
      <c r="F67" s="88">
        <f t="shared" si="9"/>
        <v>45.596491228070164</v>
      </c>
      <c r="G67" s="89">
        <v>4550</v>
      </c>
    </row>
    <row r="68" spans="1:7">
      <c r="A68" s="88">
        <f t="shared" si="16"/>
        <v>328.57142857142844</v>
      </c>
      <c r="B68" s="88">
        <f t="shared" si="16"/>
        <v>261.08695652173878</v>
      </c>
      <c r="C68" s="88">
        <f t="shared" si="14"/>
        <v>98.75</v>
      </c>
      <c r="D68" s="88">
        <f t="shared" si="11"/>
        <v>60.369230769230683</v>
      </c>
      <c r="E68" s="88">
        <f t="shared" si="13"/>
        <v>48.903225806451601</v>
      </c>
      <c r="F68" s="88">
        <f t="shared" si="9"/>
        <v>46.087719298245602</v>
      </c>
      <c r="G68" s="89">
        <v>4600</v>
      </c>
    </row>
    <row r="69" spans="1:7">
      <c r="A69" s="88">
        <f t="shared" si="16"/>
        <v>332.142857142857</v>
      </c>
      <c r="B69" s="88">
        <f t="shared" si="16"/>
        <v>264.26086956521704</v>
      </c>
      <c r="C69" s="88">
        <f t="shared" si="14"/>
        <v>99.6875</v>
      </c>
      <c r="D69" s="88">
        <f t="shared" si="11"/>
        <v>61.046153846153757</v>
      </c>
      <c r="E69" s="88">
        <f t="shared" si="13"/>
        <v>49.419354838709666</v>
      </c>
      <c r="F69" s="88">
        <f t="shared" si="9"/>
        <v>46.578947368421041</v>
      </c>
      <c r="G69" s="89">
        <v>4650</v>
      </c>
    </row>
    <row r="70" spans="1:7">
      <c r="A70" s="88">
        <f t="shared" si="16"/>
        <v>335.71428571428555</v>
      </c>
      <c r="B70" s="88">
        <f t="shared" si="16"/>
        <v>267.43478260869529</v>
      </c>
      <c r="C70" s="88">
        <f t="shared" si="14"/>
        <v>100.625</v>
      </c>
      <c r="D70" s="88">
        <f t="shared" si="11"/>
        <v>61.723076923076832</v>
      </c>
      <c r="E70" s="88">
        <f t="shared" si="13"/>
        <v>49.93548387096773</v>
      </c>
      <c r="F70" s="88">
        <f t="shared" si="9"/>
        <v>47.070175438596479</v>
      </c>
      <c r="G70" s="89">
        <v>4700</v>
      </c>
    </row>
    <row r="71" spans="1:7">
      <c r="A71" s="88">
        <f t="shared" si="16"/>
        <v>339.28571428571411</v>
      </c>
      <c r="B71" s="88">
        <f t="shared" si="16"/>
        <v>270.60869565217354</v>
      </c>
      <c r="C71" s="88">
        <f t="shared" si="14"/>
        <v>101.5625</v>
      </c>
      <c r="D71" s="88">
        <f t="shared" si="11"/>
        <v>62.399999999999906</v>
      </c>
      <c r="E71" s="88">
        <f t="shared" si="13"/>
        <v>50.451612903225794</v>
      </c>
      <c r="F71" s="88">
        <f t="shared" si="9"/>
        <v>47.561403508771917</v>
      </c>
      <c r="G71" s="89">
        <v>4750</v>
      </c>
    </row>
    <row r="72" spans="1:7">
      <c r="A72" s="88">
        <f t="shared" si="16"/>
        <v>342.85714285714266</v>
      </c>
      <c r="B72" s="88">
        <f t="shared" si="16"/>
        <v>273.78260869565179</v>
      </c>
      <c r="C72" s="88">
        <f t="shared" si="14"/>
        <v>102.5</v>
      </c>
      <c r="D72" s="88">
        <f t="shared" si="11"/>
        <v>63.076923076922981</v>
      </c>
      <c r="E72" s="88">
        <f t="shared" si="13"/>
        <v>50.967741935483858</v>
      </c>
      <c r="F72" s="88">
        <f t="shared" si="9"/>
        <v>48.052631578947356</v>
      </c>
      <c r="G72" s="89">
        <v>4800</v>
      </c>
    </row>
    <row r="73" spans="1:7">
      <c r="A73" s="88">
        <f t="shared" si="16"/>
        <v>346.42857142857122</v>
      </c>
      <c r="B73" s="88">
        <f t="shared" si="16"/>
        <v>276.95652173913004</v>
      </c>
      <c r="C73" s="88">
        <f t="shared" si="14"/>
        <v>103.4375</v>
      </c>
      <c r="D73" s="88">
        <f t="shared" si="11"/>
        <v>63.753846153846055</v>
      </c>
      <c r="E73" s="88">
        <f t="shared" si="13"/>
        <v>51.483870967741922</v>
      </c>
      <c r="F73" s="88">
        <f t="shared" si="9"/>
        <v>48.543859649122794</v>
      </c>
      <c r="G73" s="89">
        <v>4850</v>
      </c>
    </row>
    <row r="74" spans="1:7">
      <c r="A74" s="88">
        <f t="shared" si="16"/>
        <v>349.99999999999977</v>
      </c>
      <c r="B74" s="88">
        <f t="shared" si="16"/>
        <v>280.13043478260829</v>
      </c>
      <c r="C74" s="88">
        <f t="shared" si="14"/>
        <v>104.375</v>
      </c>
      <c r="D74" s="88">
        <f t="shared" si="11"/>
        <v>64.43076923076913</v>
      </c>
      <c r="E74" s="88">
        <v>52</v>
      </c>
      <c r="F74" s="88">
        <f t="shared" si="9"/>
        <v>49.035087719298232</v>
      </c>
      <c r="G74" s="89">
        <v>4900</v>
      </c>
    </row>
    <row r="75" spans="1:7">
      <c r="A75" s="88">
        <f t="shared" si="16"/>
        <v>353.57142857142833</v>
      </c>
      <c r="B75" s="88">
        <f t="shared" si="16"/>
        <v>283.30434782608654</v>
      </c>
      <c r="C75" s="88">
        <f t="shared" si="14"/>
        <v>105.3125</v>
      </c>
      <c r="D75" s="88">
        <f t="shared" si="11"/>
        <v>65.107692307692204</v>
      </c>
      <c r="E75" s="88">
        <f t="shared" ref="E75:E80" si="17">E74+($E$81-$E$74)/7</f>
        <v>52.857142857142854</v>
      </c>
      <c r="F75" s="88">
        <f>F74+($F$76-$F$20)/40</f>
        <v>49.735087719298235</v>
      </c>
      <c r="G75" s="89">
        <v>4950</v>
      </c>
    </row>
    <row r="76" spans="1:7">
      <c r="A76" s="88">
        <f t="shared" si="16"/>
        <v>357.14285714285688</v>
      </c>
      <c r="B76" s="88">
        <f t="shared" si="16"/>
        <v>286.47826086956479</v>
      </c>
      <c r="C76" s="88">
        <f t="shared" si="14"/>
        <v>106.25</v>
      </c>
      <c r="D76" s="88">
        <f t="shared" si="11"/>
        <v>65.784615384615279</v>
      </c>
      <c r="E76" s="88">
        <f t="shared" si="17"/>
        <v>53.714285714285708</v>
      </c>
      <c r="F76" s="88">
        <v>50</v>
      </c>
      <c r="G76" s="89">
        <v>5000</v>
      </c>
    </row>
    <row r="77" spans="1:7">
      <c r="A77" s="88">
        <f t="shared" si="16"/>
        <v>360.71428571428544</v>
      </c>
      <c r="B77" s="88">
        <f t="shared" si="16"/>
        <v>289.65217391304304</v>
      </c>
      <c r="C77" s="88">
        <f t="shared" si="14"/>
        <v>107.1875</v>
      </c>
      <c r="D77" s="88">
        <f t="shared" si="11"/>
        <v>66.461538461538353</v>
      </c>
      <c r="E77" s="88">
        <f t="shared" si="17"/>
        <v>54.571428571428562</v>
      </c>
      <c r="F77" s="88">
        <f>F76+($F$116-$F$76)/40</f>
        <v>50.325000000000003</v>
      </c>
      <c r="G77" s="89">
        <v>5050</v>
      </c>
    </row>
    <row r="78" spans="1:7">
      <c r="A78" s="88">
        <f t="shared" si="16"/>
        <v>364.28571428571399</v>
      </c>
      <c r="B78" s="88">
        <f t="shared" si="16"/>
        <v>292.82608695652129</v>
      </c>
      <c r="C78" s="88">
        <f t="shared" si="14"/>
        <v>108.125</v>
      </c>
      <c r="D78" s="88">
        <f t="shared" si="11"/>
        <v>67.138461538461428</v>
      </c>
      <c r="E78" s="88">
        <f t="shared" si="17"/>
        <v>55.428571428571416</v>
      </c>
      <c r="F78" s="88">
        <f t="shared" ref="F78:F115" si="18">F77+($F$116-$F$76)/40</f>
        <v>50.650000000000006</v>
      </c>
      <c r="G78" s="89">
        <v>5100</v>
      </c>
    </row>
    <row r="79" spans="1:7">
      <c r="A79" s="88">
        <f t="shared" si="16"/>
        <v>367.85714285714255</v>
      </c>
      <c r="B79" s="88">
        <f t="shared" si="16"/>
        <v>295.99999999999955</v>
      </c>
      <c r="C79" s="88">
        <f t="shared" si="14"/>
        <v>109.0625</v>
      </c>
      <c r="D79" s="88">
        <f t="shared" si="11"/>
        <v>67.815384615384502</v>
      </c>
      <c r="E79" s="88">
        <f t="shared" si="17"/>
        <v>56.28571428571427</v>
      </c>
      <c r="F79" s="88">
        <f t="shared" si="18"/>
        <v>50.975000000000009</v>
      </c>
      <c r="G79" s="89">
        <v>5150</v>
      </c>
    </row>
    <row r="80" spans="1:7">
      <c r="A80" s="88">
        <f t="shared" si="16"/>
        <v>371.4285714285711</v>
      </c>
      <c r="B80" s="88">
        <f t="shared" si="16"/>
        <v>299.1739130434778</v>
      </c>
      <c r="C80" s="88">
        <f t="shared" si="14"/>
        <v>110</v>
      </c>
      <c r="D80" s="88">
        <f t="shared" si="11"/>
        <v>68.492307692307577</v>
      </c>
      <c r="E80" s="88">
        <f t="shared" si="17"/>
        <v>57.142857142857125</v>
      </c>
      <c r="F80" s="88">
        <f t="shared" si="18"/>
        <v>51.300000000000011</v>
      </c>
      <c r="G80" s="89">
        <v>5200</v>
      </c>
    </row>
    <row r="81" spans="1:7">
      <c r="A81" s="88">
        <f t="shared" si="16"/>
        <v>374.99999999999966</v>
      </c>
      <c r="B81" s="88">
        <f t="shared" si="16"/>
        <v>302.34782608695605</v>
      </c>
      <c r="C81" s="88">
        <f t="shared" si="14"/>
        <v>110.9375</v>
      </c>
      <c r="D81" s="88">
        <f t="shared" si="11"/>
        <v>69.169230769230651</v>
      </c>
      <c r="E81" s="88">
        <v>58</v>
      </c>
      <c r="F81" s="88">
        <f t="shared" si="18"/>
        <v>51.625000000000014</v>
      </c>
      <c r="G81" s="89">
        <v>5250</v>
      </c>
    </row>
    <row r="82" spans="1:7">
      <c r="A82" s="88">
        <f t="shared" si="16"/>
        <v>378.57142857142821</v>
      </c>
      <c r="B82" s="88">
        <f t="shared" si="16"/>
        <v>305.5217391304343</v>
      </c>
      <c r="C82" s="88">
        <f t="shared" si="14"/>
        <v>111.875</v>
      </c>
      <c r="D82" s="88">
        <f t="shared" si="11"/>
        <v>69.846153846153726</v>
      </c>
      <c r="E82" s="88">
        <f>E81+($E$116-$E$81)/35</f>
        <v>58.628571428571426</v>
      </c>
      <c r="F82" s="88">
        <f t="shared" si="18"/>
        <v>51.950000000000017</v>
      </c>
      <c r="G82" s="89">
        <v>5300</v>
      </c>
    </row>
    <row r="83" spans="1:7">
      <c r="A83" s="88">
        <f t="shared" ref="A83:D98" si="19">A82-A81+A82</f>
        <v>382.14285714285677</v>
      </c>
      <c r="B83" s="88">
        <f t="shared" si="19"/>
        <v>308.69565217391255</v>
      </c>
      <c r="C83" s="88">
        <f t="shared" si="14"/>
        <v>112.8125</v>
      </c>
      <c r="D83" s="88">
        <f t="shared" si="11"/>
        <v>70.5230769230768</v>
      </c>
      <c r="E83" s="88">
        <f t="shared" ref="E83:E115" si="20">E82+($E$116-$E$81)/35</f>
        <v>59.257142857142853</v>
      </c>
      <c r="F83" s="88">
        <f t="shared" si="18"/>
        <v>52.27500000000002</v>
      </c>
      <c r="G83" s="89">
        <v>5350</v>
      </c>
    </row>
    <row r="84" spans="1:7">
      <c r="A84" s="88">
        <f t="shared" si="19"/>
        <v>385.71428571428532</v>
      </c>
      <c r="B84" s="88">
        <f t="shared" si="19"/>
        <v>311.8695652173908</v>
      </c>
      <c r="C84" s="88">
        <f t="shared" si="14"/>
        <v>113.75</v>
      </c>
      <c r="D84" s="88">
        <f t="shared" si="11"/>
        <v>71.199999999999875</v>
      </c>
      <c r="E84" s="88">
        <f t="shared" si="20"/>
        <v>59.885714285714279</v>
      </c>
      <c r="F84" s="88">
        <f t="shared" si="18"/>
        <v>52.600000000000023</v>
      </c>
      <c r="G84" s="89">
        <v>5400</v>
      </c>
    </row>
    <row r="85" spans="1:7">
      <c r="A85" s="88">
        <f t="shared" si="19"/>
        <v>389.28571428571388</v>
      </c>
      <c r="B85" s="88">
        <f>ZpůsobVýpočtu-B83+ZpůsobVýpočtu</f>
        <v>-308.69565217391255</v>
      </c>
      <c r="C85" s="88">
        <f t="shared" si="14"/>
        <v>114.6875</v>
      </c>
      <c r="D85" s="88">
        <f t="shared" si="11"/>
        <v>71.876923076922949</v>
      </c>
      <c r="E85" s="88">
        <f t="shared" si="20"/>
        <v>60.514285714285705</v>
      </c>
      <c r="F85" s="88">
        <f t="shared" si="18"/>
        <v>52.925000000000026</v>
      </c>
      <c r="G85" s="89">
        <v>5450</v>
      </c>
    </row>
    <row r="86" spans="1:7">
      <c r="A86" s="88">
        <f t="shared" si="19"/>
        <v>392.85714285714243</v>
      </c>
      <c r="B86" s="88">
        <f>B85-ZpůsobVýpočtu+B85</f>
        <v>-617.3913043478251</v>
      </c>
      <c r="C86" s="88">
        <f t="shared" si="14"/>
        <v>115.625</v>
      </c>
      <c r="D86" s="88">
        <f t="shared" si="11"/>
        <v>72.553846153846024</v>
      </c>
      <c r="E86" s="88">
        <f t="shared" si="20"/>
        <v>61.142857142857132</v>
      </c>
      <c r="F86" s="88">
        <f t="shared" si="18"/>
        <v>53.250000000000028</v>
      </c>
      <c r="G86" s="89">
        <v>5500</v>
      </c>
    </row>
    <row r="87" spans="1:7">
      <c r="A87" s="88">
        <f t="shared" si="19"/>
        <v>396.42857142857099</v>
      </c>
      <c r="B87" s="88">
        <f t="shared" si="19"/>
        <v>-926.08695652173765</v>
      </c>
      <c r="C87" s="88">
        <f t="shared" si="14"/>
        <v>116.5625</v>
      </c>
      <c r="D87" s="88">
        <f t="shared" si="11"/>
        <v>73.230769230769098</v>
      </c>
      <c r="E87" s="88">
        <f t="shared" si="20"/>
        <v>61.771428571428558</v>
      </c>
      <c r="F87" s="88">
        <f t="shared" si="18"/>
        <v>53.575000000000031</v>
      </c>
      <c r="G87" s="89">
        <v>5550</v>
      </c>
    </row>
    <row r="88" spans="1:7">
      <c r="A88" s="88">
        <f t="shared" si="19"/>
        <v>399.99999999999955</v>
      </c>
      <c r="B88" s="88">
        <f>Denostupně-B86+Denostupně</f>
        <v>-1270.2086956521748</v>
      </c>
      <c r="C88" s="88">
        <f t="shared" si="14"/>
        <v>117.5</v>
      </c>
      <c r="D88" s="88">
        <f t="shared" si="11"/>
        <v>73.907692307692173</v>
      </c>
      <c r="E88" s="88">
        <f t="shared" si="20"/>
        <v>62.399999999999984</v>
      </c>
      <c r="F88" s="88">
        <f t="shared" si="18"/>
        <v>53.900000000000034</v>
      </c>
      <c r="G88" s="89">
        <v>5600</v>
      </c>
    </row>
    <row r="89" spans="1:7">
      <c r="A89" s="88">
        <f t="shared" si="19"/>
        <v>403.5714285714281</v>
      </c>
      <c r="B89" s="88">
        <f>B88-Denostupně+B88</f>
        <v>-1596.6173913043497</v>
      </c>
      <c r="C89" s="88">
        <f t="shared" si="14"/>
        <v>118.4375</v>
      </c>
      <c r="D89" s="88">
        <f t="shared" si="11"/>
        <v>74.584615384615248</v>
      </c>
      <c r="E89" s="88">
        <f t="shared" si="20"/>
        <v>63.028571428571411</v>
      </c>
      <c r="F89" s="88">
        <f t="shared" si="18"/>
        <v>54.225000000000037</v>
      </c>
      <c r="G89" s="89">
        <v>5650</v>
      </c>
    </row>
    <row r="90" spans="1:7">
      <c r="A90" s="88">
        <f t="shared" si="19"/>
        <v>407.14285714285666</v>
      </c>
      <c r="B90" s="88">
        <f t="shared" si="19"/>
        <v>-1923.0260869565245</v>
      </c>
      <c r="C90" s="88">
        <f t="shared" si="14"/>
        <v>119.375</v>
      </c>
      <c r="D90" s="88">
        <f t="shared" si="11"/>
        <v>75.261538461538322</v>
      </c>
      <c r="E90" s="88">
        <f t="shared" si="20"/>
        <v>63.657142857142837</v>
      </c>
      <c r="F90" s="88">
        <f t="shared" si="18"/>
        <v>54.55000000000004</v>
      </c>
      <c r="G90" s="89">
        <v>5700</v>
      </c>
    </row>
    <row r="91" spans="1:7">
      <c r="A91" s="88">
        <f t="shared" si="19"/>
        <v>410.71428571428521</v>
      </c>
      <c r="B91" s="88">
        <f t="shared" si="19"/>
        <v>-2249.4347826086996</v>
      </c>
      <c r="C91" s="88">
        <f t="shared" si="14"/>
        <v>120.3125</v>
      </c>
      <c r="D91" s="88">
        <f t="shared" si="11"/>
        <v>75.938461538461397</v>
      </c>
      <c r="E91" s="88">
        <f t="shared" si="20"/>
        <v>64.285714285714263</v>
      </c>
      <c r="F91" s="88">
        <f t="shared" si="18"/>
        <v>54.875000000000043</v>
      </c>
      <c r="G91" s="89">
        <v>5750</v>
      </c>
    </row>
    <row r="92" spans="1:7">
      <c r="A92" s="88">
        <f t="shared" si="19"/>
        <v>414.28571428571377</v>
      </c>
      <c r="B92" s="88">
        <f t="shared" si="19"/>
        <v>-2575.8434782608747</v>
      </c>
      <c r="C92" s="88">
        <f t="shared" si="14"/>
        <v>121.25</v>
      </c>
      <c r="D92" s="88">
        <f t="shared" si="11"/>
        <v>76.615384615384471</v>
      </c>
      <c r="E92" s="88">
        <f t="shared" si="20"/>
        <v>64.914285714285697</v>
      </c>
      <c r="F92" s="88">
        <f t="shared" si="18"/>
        <v>55.200000000000045</v>
      </c>
      <c r="G92" s="89">
        <v>5800</v>
      </c>
    </row>
    <row r="93" spans="1:7">
      <c r="A93" s="88">
        <f t="shared" si="19"/>
        <v>417.85714285714232</v>
      </c>
      <c r="B93" s="88">
        <f t="shared" si="19"/>
        <v>-2902.2521739130498</v>
      </c>
      <c r="C93" s="88">
        <f t="shared" si="14"/>
        <v>122.1875</v>
      </c>
      <c r="D93" s="88">
        <f t="shared" si="11"/>
        <v>77.292307692307546</v>
      </c>
      <c r="E93" s="88">
        <f t="shared" si="20"/>
        <v>65.54285714285713</v>
      </c>
      <c r="F93" s="88">
        <f t="shared" si="18"/>
        <v>55.525000000000048</v>
      </c>
      <c r="G93" s="89">
        <v>5850</v>
      </c>
    </row>
    <row r="94" spans="1:7">
      <c r="A94" s="88">
        <f t="shared" si="19"/>
        <v>421.42857142857088</v>
      </c>
      <c r="B94" s="88">
        <f t="shared" si="19"/>
        <v>-3228.6608695652249</v>
      </c>
      <c r="C94" s="88">
        <f t="shared" si="14"/>
        <v>123.125</v>
      </c>
      <c r="D94" s="88">
        <f t="shared" si="11"/>
        <v>77.96923076923062</v>
      </c>
      <c r="E94" s="88">
        <f t="shared" si="20"/>
        <v>66.171428571428564</v>
      </c>
      <c r="F94" s="88">
        <f t="shared" si="18"/>
        <v>55.850000000000051</v>
      </c>
      <c r="G94" s="89">
        <v>5900</v>
      </c>
    </row>
    <row r="95" spans="1:7">
      <c r="A95" s="88">
        <f t="shared" si="19"/>
        <v>424.99999999999943</v>
      </c>
      <c r="B95" s="88">
        <f t="shared" si="19"/>
        <v>-3555.0695652173999</v>
      </c>
      <c r="C95" s="88">
        <f t="shared" si="14"/>
        <v>124.0625</v>
      </c>
      <c r="D95" s="88">
        <f t="shared" si="11"/>
        <v>78.646153846153695</v>
      </c>
      <c r="E95" s="88">
        <f t="shared" si="20"/>
        <v>66.8</v>
      </c>
      <c r="F95" s="88">
        <f t="shared" si="18"/>
        <v>56.175000000000054</v>
      </c>
      <c r="G95" s="89">
        <v>5950</v>
      </c>
    </row>
    <row r="96" spans="1:7">
      <c r="A96" s="88">
        <f t="shared" si="19"/>
        <v>428.57142857142799</v>
      </c>
      <c r="B96" s="88">
        <f t="shared" si="19"/>
        <v>-3881.478260869575</v>
      </c>
      <c r="C96" s="88">
        <v>125</v>
      </c>
      <c r="D96" s="88">
        <v>80</v>
      </c>
      <c r="E96" s="88">
        <f t="shared" si="20"/>
        <v>67.428571428571431</v>
      </c>
      <c r="F96" s="88">
        <f t="shared" si="18"/>
        <v>56.500000000000057</v>
      </c>
      <c r="G96" s="89">
        <v>6000</v>
      </c>
    </row>
    <row r="97" spans="1:7">
      <c r="A97" s="88">
        <f t="shared" si="19"/>
        <v>432.14285714285654</v>
      </c>
      <c r="B97" s="88">
        <f t="shared" si="19"/>
        <v>-4207.8869565217501</v>
      </c>
      <c r="C97" s="88">
        <f>C96-C95+C96</f>
        <v>125.9375</v>
      </c>
      <c r="D97" s="88">
        <f>D96-D95+D96</f>
        <v>81.353846153846305</v>
      </c>
      <c r="E97" s="88">
        <f t="shared" si="20"/>
        <v>68.057142857142864</v>
      </c>
      <c r="F97" s="88">
        <f t="shared" si="18"/>
        <v>56.82500000000006</v>
      </c>
      <c r="G97" s="89">
        <v>6050</v>
      </c>
    </row>
    <row r="98" spans="1:7">
      <c r="A98" s="88">
        <f t="shared" si="19"/>
        <v>435.7142857142851</v>
      </c>
      <c r="B98" s="88">
        <f t="shared" si="19"/>
        <v>-4534.2956521739252</v>
      </c>
      <c r="C98" s="88">
        <f t="shared" si="19"/>
        <v>126.875</v>
      </c>
      <c r="D98" s="88">
        <f t="shared" si="19"/>
        <v>82.707692307692611</v>
      </c>
      <c r="E98" s="88">
        <f t="shared" si="20"/>
        <v>68.685714285714297</v>
      </c>
      <c r="F98" s="88">
        <f t="shared" si="18"/>
        <v>57.150000000000063</v>
      </c>
      <c r="G98" s="89">
        <v>6100</v>
      </c>
    </row>
    <row r="99" spans="1:7">
      <c r="A99" s="88">
        <f t="shared" ref="A99:D114" si="21">A98-A97+A98</f>
        <v>439.28571428571365</v>
      </c>
      <c r="B99" s="88">
        <f t="shared" si="21"/>
        <v>-4860.7043478261003</v>
      </c>
      <c r="C99" s="88">
        <f t="shared" si="21"/>
        <v>127.8125</v>
      </c>
      <c r="D99" s="88">
        <f t="shared" si="21"/>
        <v>84.061538461538916</v>
      </c>
      <c r="E99" s="88">
        <f t="shared" si="20"/>
        <v>69.314285714285731</v>
      </c>
      <c r="F99" s="88">
        <f t="shared" si="18"/>
        <v>57.475000000000065</v>
      </c>
      <c r="G99" s="89">
        <v>6150</v>
      </c>
    </row>
    <row r="100" spans="1:7">
      <c r="A100" s="88">
        <f t="shared" si="21"/>
        <v>442.85714285714221</v>
      </c>
      <c r="B100" s="88">
        <f t="shared" si="21"/>
        <v>-5187.1130434782754</v>
      </c>
      <c r="C100" s="88">
        <f t="shared" si="21"/>
        <v>128.75</v>
      </c>
      <c r="D100" s="88">
        <f t="shared" si="21"/>
        <v>85.415384615385221</v>
      </c>
      <c r="E100" s="88">
        <f t="shared" si="20"/>
        <v>69.942857142857164</v>
      </c>
      <c r="F100" s="88">
        <f t="shared" si="18"/>
        <v>57.800000000000068</v>
      </c>
      <c r="G100" s="89">
        <v>6200</v>
      </c>
    </row>
    <row r="101" spans="1:7">
      <c r="A101" s="88">
        <f t="shared" si="21"/>
        <v>446.42857142857076</v>
      </c>
      <c r="B101" s="88">
        <f t="shared" si="21"/>
        <v>-5513.5217391304504</v>
      </c>
      <c r="C101" s="88">
        <f t="shared" si="21"/>
        <v>129.6875</v>
      </c>
      <c r="D101" s="88">
        <f t="shared" si="21"/>
        <v>86.769230769231527</v>
      </c>
      <c r="E101" s="88">
        <f t="shared" si="20"/>
        <v>70.571428571428598</v>
      </c>
      <c r="F101" s="88">
        <f t="shared" si="18"/>
        <v>58.125000000000071</v>
      </c>
      <c r="G101" s="89">
        <v>6250</v>
      </c>
    </row>
    <row r="102" spans="1:7">
      <c r="A102" s="88">
        <f t="shared" si="21"/>
        <v>449.99999999999932</v>
      </c>
      <c r="B102" s="88">
        <f t="shared" si="21"/>
        <v>-5839.9304347826255</v>
      </c>
      <c r="C102" s="88">
        <f t="shared" si="21"/>
        <v>130.625</v>
      </c>
      <c r="D102" s="88">
        <f t="shared" si="21"/>
        <v>88.123076923077832</v>
      </c>
      <c r="E102" s="88">
        <f t="shared" si="20"/>
        <v>71.200000000000031</v>
      </c>
      <c r="F102" s="88">
        <f t="shared" si="18"/>
        <v>58.450000000000074</v>
      </c>
      <c r="G102" s="89">
        <v>6300</v>
      </c>
    </row>
    <row r="103" spans="1:7">
      <c r="A103" s="88">
        <f t="shared" si="21"/>
        <v>453.57142857142787</v>
      </c>
      <c r="B103" s="88">
        <f t="shared" si="21"/>
        <v>-6166.3391304348006</v>
      </c>
      <c r="C103" s="88">
        <f t="shared" si="21"/>
        <v>131.5625</v>
      </c>
      <c r="D103" s="88">
        <f t="shared" si="21"/>
        <v>89.476923076924137</v>
      </c>
      <c r="E103" s="88">
        <f t="shared" si="20"/>
        <v>71.828571428571465</v>
      </c>
      <c r="F103" s="88">
        <f t="shared" si="18"/>
        <v>58.775000000000077</v>
      </c>
      <c r="G103" s="89">
        <v>6350</v>
      </c>
    </row>
    <row r="104" spans="1:7">
      <c r="A104" s="88">
        <f t="shared" si="21"/>
        <v>457.14285714285643</v>
      </c>
      <c r="B104" s="88">
        <f t="shared" si="21"/>
        <v>-6492.7478260869757</v>
      </c>
      <c r="C104" s="88">
        <f t="shared" si="21"/>
        <v>132.5</v>
      </c>
      <c r="D104" s="88">
        <f t="shared" si="21"/>
        <v>90.830769230770443</v>
      </c>
      <c r="E104" s="88">
        <f t="shared" si="20"/>
        <v>72.457142857142898</v>
      </c>
      <c r="F104" s="88">
        <f t="shared" si="18"/>
        <v>59.10000000000008</v>
      </c>
      <c r="G104" s="89">
        <v>6400</v>
      </c>
    </row>
    <row r="105" spans="1:7">
      <c r="A105" s="88">
        <f t="shared" si="21"/>
        <v>460.71428571428498</v>
      </c>
      <c r="B105" s="88">
        <f t="shared" si="21"/>
        <v>-6819.1565217391508</v>
      </c>
      <c r="C105" s="88">
        <f t="shared" si="21"/>
        <v>133.4375</v>
      </c>
      <c r="D105" s="88">
        <f t="shared" si="21"/>
        <v>92.184615384616748</v>
      </c>
      <c r="E105" s="88">
        <f t="shared" si="20"/>
        <v>73.085714285714332</v>
      </c>
      <c r="F105" s="88">
        <f t="shared" si="18"/>
        <v>59.425000000000082</v>
      </c>
      <c r="G105" s="89">
        <v>6450</v>
      </c>
    </row>
    <row r="106" spans="1:7">
      <c r="A106" s="88">
        <f t="shared" si="21"/>
        <v>464.28571428571354</v>
      </c>
      <c r="B106" s="88">
        <f t="shared" si="21"/>
        <v>-7145.5652173913259</v>
      </c>
      <c r="C106" s="88">
        <f t="shared" si="21"/>
        <v>134.375</v>
      </c>
      <c r="D106" s="88">
        <f t="shared" si="21"/>
        <v>93.538461538463054</v>
      </c>
      <c r="E106" s="88">
        <f t="shared" si="20"/>
        <v>73.714285714285765</v>
      </c>
      <c r="F106" s="88">
        <f t="shared" si="18"/>
        <v>59.750000000000085</v>
      </c>
      <c r="G106" s="89">
        <v>6500</v>
      </c>
    </row>
    <row r="107" spans="1:7">
      <c r="A107" s="88">
        <f t="shared" si="21"/>
        <v>467.85714285714209</v>
      </c>
      <c r="B107" s="88">
        <f t="shared" si="21"/>
        <v>-7471.9739130435009</v>
      </c>
      <c r="C107" s="88">
        <f t="shared" si="21"/>
        <v>135.3125</v>
      </c>
      <c r="D107" s="88">
        <f t="shared" si="21"/>
        <v>94.892307692309359</v>
      </c>
      <c r="E107" s="88">
        <f t="shared" si="20"/>
        <v>74.342857142857198</v>
      </c>
      <c r="F107" s="88">
        <f t="shared" si="18"/>
        <v>60.075000000000088</v>
      </c>
      <c r="G107" s="89">
        <v>6550</v>
      </c>
    </row>
    <row r="108" spans="1:7">
      <c r="A108" s="88">
        <f t="shared" si="21"/>
        <v>471.42857142857065</v>
      </c>
      <c r="B108" s="88">
        <f t="shared" si="21"/>
        <v>-7798.382608695676</v>
      </c>
      <c r="C108" s="88">
        <f t="shared" si="21"/>
        <v>136.25</v>
      </c>
      <c r="D108" s="88">
        <f t="shared" si="21"/>
        <v>96.246153846155664</v>
      </c>
      <c r="E108" s="88">
        <f t="shared" si="20"/>
        <v>74.971428571428632</v>
      </c>
      <c r="F108" s="88">
        <f t="shared" si="18"/>
        <v>60.400000000000091</v>
      </c>
      <c r="G108" s="89">
        <v>6600</v>
      </c>
    </row>
    <row r="109" spans="1:7">
      <c r="A109" s="88">
        <f t="shared" si="21"/>
        <v>474.9999999999992</v>
      </c>
      <c r="B109" s="88">
        <f t="shared" si="21"/>
        <v>-8124.7913043478511</v>
      </c>
      <c r="C109" s="88">
        <f t="shared" si="21"/>
        <v>137.1875</v>
      </c>
      <c r="D109" s="88">
        <f t="shared" si="21"/>
        <v>97.60000000000197</v>
      </c>
      <c r="E109" s="88">
        <f t="shared" si="20"/>
        <v>75.600000000000065</v>
      </c>
      <c r="F109" s="88">
        <f t="shared" si="18"/>
        <v>60.725000000000094</v>
      </c>
      <c r="G109" s="89">
        <v>6650</v>
      </c>
    </row>
    <row r="110" spans="1:7">
      <c r="A110" s="88">
        <f t="shared" si="21"/>
        <v>478.57142857142776</v>
      </c>
      <c r="B110" s="88">
        <f t="shared" si="21"/>
        <v>-8451.2000000000262</v>
      </c>
      <c r="C110" s="88">
        <f t="shared" si="21"/>
        <v>138.125</v>
      </c>
      <c r="D110" s="88">
        <f t="shared" si="21"/>
        <v>98.953846153848275</v>
      </c>
      <c r="E110" s="88">
        <f t="shared" si="20"/>
        <v>76.228571428571499</v>
      </c>
      <c r="F110" s="88">
        <f t="shared" si="18"/>
        <v>61.050000000000097</v>
      </c>
      <c r="G110" s="89">
        <v>6700</v>
      </c>
    </row>
    <row r="111" spans="1:7">
      <c r="A111" s="88">
        <f t="shared" si="21"/>
        <v>482.14285714285631</v>
      </c>
      <c r="B111" s="88">
        <f t="shared" si="21"/>
        <v>-8777.6086956522013</v>
      </c>
      <c r="C111" s="88">
        <f t="shared" si="21"/>
        <v>139.0625</v>
      </c>
      <c r="D111" s="88">
        <f t="shared" si="21"/>
        <v>100.30769230769458</v>
      </c>
      <c r="E111" s="88">
        <f t="shared" si="20"/>
        <v>76.857142857142932</v>
      </c>
      <c r="F111" s="88">
        <f t="shared" si="18"/>
        <v>61.375000000000099</v>
      </c>
      <c r="G111" s="89">
        <v>6750</v>
      </c>
    </row>
    <row r="112" spans="1:7">
      <c r="A112" s="88">
        <f t="shared" si="21"/>
        <v>485.71428571428487</v>
      </c>
      <c r="B112" s="88">
        <f t="shared" si="21"/>
        <v>-9104.0173913043764</v>
      </c>
      <c r="C112" s="88">
        <f t="shared" si="21"/>
        <v>140</v>
      </c>
      <c r="D112" s="88">
        <f t="shared" si="21"/>
        <v>101.66153846154089</v>
      </c>
      <c r="E112" s="88">
        <f t="shared" si="20"/>
        <v>77.485714285714366</v>
      </c>
      <c r="F112" s="88">
        <f t="shared" si="18"/>
        <v>61.700000000000102</v>
      </c>
      <c r="G112" s="89">
        <v>6800</v>
      </c>
    </row>
    <row r="113" spans="1:7">
      <c r="A113" s="88">
        <f t="shared" si="21"/>
        <v>489.28571428571342</v>
      </c>
      <c r="B113" s="88">
        <f t="shared" si="21"/>
        <v>-9430.4260869565514</v>
      </c>
      <c r="C113" s="88">
        <f t="shared" si="21"/>
        <v>140.9375</v>
      </c>
      <c r="D113" s="88">
        <f t="shared" si="21"/>
        <v>103.01538461538719</v>
      </c>
      <c r="E113" s="88">
        <f t="shared" si="20"/>
        <v>78.114285714285799</v>
      </c>
      <c r="F113" s="88">
        <f t="shared" si="18"/>
        <v>62.025000000000105</v>
      </c>
      <c r="G113" s="89">
        <v>6850</v>
      </c>
    </row>
    <row r="114" spans="1:7">
      <c r="A114" s="88">
        <f t="shared" si="21"/>
        <v>492.85714285714198</v>
      </c>
      <c r="B114" s="88">
        <f t="shared" si="21"/>
        <v>-9756.8347826087265</v>
      </c>
      <c r="C114" s="88">
        <f t="shared" si="21"/>
        <v>141.875</v>
      </c>
      <c r="D114" s="88">
        <f t="shared" si="21"/>
        <v>104.3692307692335</v>
      </c>
      <c r="E114" s="88">
        <f t="shared" si="20"/>
        <v>78.742857142857233</v>
      </c>
      <c r="F114" s="88">
        <f t="shared" si="18"/>
        <v>62.350000000000108</v>
      </c>
      <c r="G114" s="89">
        <v>6900</v>
      </c>
    </row>
    <row r="115" spans="1:7">
      <c r="A115" s="88">
        <f t="shared" ref="A115:D116" si="22">A114-A113+A114</f>
        <v>496.42857142857054</v>
      </c>
      <c r="B115" s="88">
        <f t="shared" si="22"/>
        <v>-10083.243478260902</v>
      </c>
      <c r="C115" s="88">
        <f t="shared" si="22"/>
        <v>142.8125</v>
      </c>
      <c r="D115" s="88">
        <f t="shared" si="22"/>
        <v>105.7230769230798</v>
      </c>
      <c r="E115" s="88">
        <f t="shared" si="20"/>
        <v>79.371428571428666</v>
      </c>
      <c r="F115" s="88">
        <f t="shared" si="18"/>
        <v>62.675000000000111</v>
      </c>
      <c r="G115" s="89">
        <v>6950</v>
      </c>
    </row>
    <row r="116" spans="1:7">
      <c r="A116" s="88">
        <f t="shared" si="22"/>
        <v>499.99999999999909</v>
      </c>
      <c r="B116" s="88">
        <f t="shared" si="22"/>
        <v>-10409.652173913077</v>
      </c>
      <c r="C116" s="88">
        <f t="shared" si="22"/>
        <v>143.75</v>
      </c>
      <c r="D116" s="88">
        <f t="shared" si="22"/>
        <v>107.07692307692611</v>
      </c>
      <c r="E116" s="88">
        <v>80</v>
      </c>
      <c r="F116" s="88">
        <v>63</v>
      </c>
      <c r="G116" s="89">
        <v>7000</v>
      </c>
    </row>
  </sheetData>
  <sheetProtection algorithmName="SHA-512" hashValue="nAiABaXH7RydFpQ9VpXm5Wzc3TQwEMFwm5u4PDIGbeXKENFWeWo9BYzQgFX9hyYdXim99kPOL5cVTQCoo4XNsQ==" saltValue="P6mm7erlJQEY+mi59ZLJgQ==" spinCount="100000" sheet="1" objects="1" scenarios="1"/>
  <mergeCells count="2">
    <mergeCell ref="J1:K1"/>
    <mergeCell ref="I1:I2"/>
  </mergeCells>
  <pageMargins left="0.7" right="0.7" top="0.78740157499999996" bottom="0.78740157499999996" header="0.3" footer="0.3"/>
  <tableParts count="2">
    <tablePart r:id="rId1"/>
    <tablePart r:id="rId2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0F81B-E24A-482D-A4B9-6B9660B33274}">
  <sheetPr codeName="List4"/>
  <dimension ref="A1:C7"/>
  <sheetViews>
    <sheetView workbookViewId="0"/>
  </sheetViews>
  <sheetFormatPr defaultRowHeight="15"/>
  <cols>
    <col min="1" max="1" width="47.7109375" bestFit="1" customWidth="1"/>
    <col min="2" max="2" width="9" bestFit="1" customWidth="1"/>
    <col min="3" max="3" width="8.5703125" bestFit="1" customWidth="1"/>
  </cols>
  <sheetData>
    <row r="1" spans="1:3">
      <c r="A1" s="94" t="s">
        <v>28</v>
      </c>
      <c r="B1" s="94" t="s">
        <v>29</v>
      </c>
      <c r="C1" s="94" t="s">
        <v>30</v>
      </c>
    </row>
    <row r="2" spans="1:3">
      <c r="A2" s="91" t="s">
        <v>31</v>
      </c>
      <c r="B2" s="91" t="s">
        <v>32</v>
      </c>
      <c r="C2" s="91">
        <v>500</v>
      </c>
    </row>
    <row r="3" spans="1:3">
      <c r="A3" s="91" t="s">
        <v>33</v>
      </c>
      <c r="B3" s="91" t="s">
        <v>32</v>
      </c>
      <c r="C3" s="91">
        <v>4000</v>
      </c>
    </row>
    <row r="4" spans="1:3">
      <c r="A4" s="91" t="s">
        <v>879</v>
      </c>
      <c r="B4" s="91">
        <v>1</v>
      </c>
      <c r="C4" s="91">
        <v>1</v>
      </c>
    </row>
    <row r="5" spans="1:3">
      <c r="A5" s="91" t="s">
        <v>880</v>
      </c>
      <c r="B5" s="91">
        <v>1</v>
      </c>
      <c r="C5" s="91">
        <v>2</v>
      </c>
    </row>
    <row r="6" spans="1:3">
      <c r="A6" s="91" t="s">
        <v>1039</v>
      </c>
      <c r="B6" s="91" t="s">
        <v>5</v>
      </c>
      <c r="C6" s="91">
        <v>1000</v>
      </c>
    </row>
    <row r="7" spans="1:3">
      <c r="A7" s="91" t="s">
        <v>1040</v>
      </c>
      <c r="B7" s="91" t="s">
        <v>8</v>
      </c>
      <c r="C7" s="91">
        <v>1000</v>
      </c>
    </row>
  </sheetData>
  <sheetProtection algorithmName="SHA-512" hashValue="/uSPRpKQcJA2LWr+0uL0ec1zPI7DjeXgbnuuyCzOCWzhOEfnZ+pKaxJ7bGRWWY/XMbv3Es3nQHqfOaFBNfA7/w==" saltValue="/ZNtm+hN2tw//9MmGnJaxw==" spinCount="100000" sheet="1" objects="1" scenarios="1"/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350748-A844-48DB-B971-9111176FD401}">
  <sheetPr codeName="List21"/>
  <dimension ref="A1:V28"/>
  <sheetViews>
    <sheetView workbookViewId="0">
      <selection activeCell="B4" sqref="B4"/>
    </sheetView>
  </sheetViews>
  <sheetFormatPr defaultRowHeight="15"/>
  <cols>
    <col min="1" max="1" width="38.85546875" bestFit="1" customWidth="1"/>
    <col min="2" max="2" width="12.28515625" bestFit="1" customWidth="1"/>
    <col min="3" max="4" width="12.28515625" customWidth="1"/>
    <col min="5" max="5" width="8.85546875" bestFit="1" customWidth="1"/>
    <col min="6" max="6" width="8.5703125" bestFit="1" customWidth="1"/>
    <col min="7" max="7" width="11" bestFit="1" customWidth="1"/>
    <col min="11" max="11" width="11.140625" bestFit="1" customWidth="1"/>
    <col min="12" max="13" width="10.140625" customWidth="1"/>
    <col min="14" max="14" width="9.85546875" bestFit="1" customWidth="1"/>
    <col min="15" max="15" width="11" customWidth="1"/>
    <col min="16" max="16" width="13.85546875" customWidth="1"/>
    <col min="17" max="17" width="10.85546875" bestFit="1" customWidth="1"/>
    <col min="18" max="18" width="10.85546875" customWidth="1"/>
    <col min="19" max="19" width="10.28515625" customWidth="1"/>
    <col min="20" max="20" width="11.85546875" customWidth="1"/>
    <col min="21" max="21" width="12.28515625" bestFit="1" customWidth="1"/>
  </cols>
  <sheetData>
    <row r="1" spans="1:22" ht="21">
      <c r="A1" s="390" t="s">
        <v>183</v>
      </c>
      <c r="B1" s="390"/>
      <c r="C1" s="390"/>
      <c r="D1" s="390"/>
    </row>
    <row r="3" spans="1:22" ht="60">
      <c r="A3" s="391" t="s">
        <v>845</v>
      </c>
      <c r="B3" s="391" t="s">
        <v>867</v>
      </c>
      <c r="C3" s="391" t="s">
        <v>847</v>
      </c>
      <c r="D3" s="391" t="s">
        <v>848</v>
      </c>
      <c r="E3" s="391" t="s">
        <v>849</v>
      </c>
      <c r="F3" s="391" t="s">
        <v>850</v>
      </c>
      <c r="G3" s="391" t="s">
        <v>851</v>
      </c>
      <c r="H3" s="391" t="s">
        <v>852</v>
      </c>
      <c r="I3" s="391" t="s">
        <v>853</v>
      </c>
      <c r="J3" s="391" t="s">
        <v>854</v>
      </c>
      <c r="K3" s="391" t="s">
        <v>855</v>
      </c>
      <c r="L3" s="391" t="s">
        <v>856</v>
      </c>
      <c r="M3" s="391" t="s">
        <v>857</v>
      </c>
      <c r="N3" s="391" t="s">
        <v>858</v>
      </c>
      <c r="O3" s="391" t="s">
        <v>1027</v>
      </c>
      <c r="P3" s="391" t="s">
        <v>859</v>
      </c>
      <c r="Q3" s="391" t="s">
        <v>860</v>
      </c>
      <c r="R3" s="391" t="s">
        <v>861</v>
      </c>
      <c r="S3" s="391" t="s">
        <v>862</v>
      </c>
      <c r="T3" s="391" t="s">
        <v>863</v>
      </c>
      <c r="U3" s="391" t="s">
        <v>864</v>
      </c>
      <c r="V3" s="391" t="s">
        <v>865</v>
      </c>
    </row>
    <row r="4" spans="1:22">
      <c r="A4" t="str">
        <f>ParametryZdroje!M10</f>
        <v>hnědé uhlí</v>
      </c>
      <c r="B4" t="b">
        <f>AND(ZdrojIdxOld=1,Zdroj!$I$6=A4)</f>
        <v>0</v>
      </c>
      <c r="C4">
        <f>Zdroj!$E$13</f>
        <v>0</v>
      </c>
      <c r="D4">
        <f>Nositele!E2</f>
        <v>1.7999999999999999E-2</v>
      </c>
      <c r="E4" s="167">
        <f t="shared" ref="E4:E12" si="0">Účinnost_stará</f>
        <v>0</v>
      </c>
      <c r="F4">
        <f>VLOOKUP($A4,Primární!$A$2:$B$14,2,FALSE)</f>
        <v>1</v>
      </c>
      <c r="G4" t="e">
        <f>VLOOKUP(TStaréKotle[[#Headers],[kotel na tuhá paliva]] &amp; "-" &amp; Zdroj!$I$5 &amp; "-" &amp; $A4,TKotleTP[],4,FALSE)</f>
        <v>#N/A</v>
      </c>
      <c r="H4" s="387" t="e">
        <f>VLOOKUP(TStaréKotle[[#Headers],[kotel na tuhá paliva]] &amp; "-" &amp; Zdroj!$I$5 &amp; "-" &amp; $A4,TKotleTP[],6,FALSE)</f>
        <v>#N/A</v>
      </c>
      <c r="I4" s="387" t="e">
        <f>VLOOKUP(TStaréKotle[[#Headers],[kotel na tuhá paliva]] &amp; "-" &amp; Zdroj!$I$5 &amp; "-" &amp; $A4,TKotleTP[],7,FALSE)</f>
        <v>#N/A</v>
      </c>
      <c r="J4">
        <f>Nositele!G2</f>
        <v>99.1</v>
      </c>
      <c r="K4">
        <f>Nositele!H2</f>
        <v>3.4</v>
      </c>
      <c r="L4" s="168">
        <f t="shared" ref="L4:L12" si="1">$M4*kWh_na_GJ/D4</f>
        <v>0</v>
      </c>
      <c r="M4" s="168">
        <f t="shared" ref="M4:M12" si="2">IFERROR(N4/$E4,0)</f>
        <v>0</v>
      </c>
      <c r="N4" s="168">
        <f t="shared" ref="N4:N12" si="3">US_z_listu_kotel</f>
        <v>0</v>
      </c>
      <c r="O4" s="168">
        <f t="shared" ref="O4:O12" si="4">M4*F4</f>
        <v>0</v>
      </c>
      <c r="P4" s="168">
        <f>IFERROR(N4/$C4,0)</f>
        <v>0</v>
      </c>
      <c r="Q4" t="b">
        <f>AND(P4&gt;=1000,P4&lt;=7000)</f>
        <v>0</v>
      </c>
      <c r="R4" s="168">
        <f t="shared" ref="R4:R11" si="5">IFERROR(M4*kWh_na_GJ*$J4,0)</f>
        <v>0</v>
      </c>
      <c r="S4" s="392" t="e">
        <f>L4*$G4</f>
        <v>#N/A</v>
      </c>
      <c r="T4" s="392" t="e">
        <f>S4*$H4</f>
        <v>#N/A</v>
      </c>
      <c r="U4" s="392" t="e">
        <f>T4*$I4</f>
        <v>#N/A</v>
      </c>
      <c r="V4" s="168">
        <f>K4*L4</f>
        <v>0</v>
      </c>
    </row>
    <row r="5" spans="1:22">
      <c r="A5" t="str">
        <f>ParametryZdroje!M8</f>
        <v>černé uhlí</v>
      </c>
      <c r="B5" t="b">
        <f>AND(ZdrojIdxOld=1,Zdroj!$I$6=A5)</f>
        <v>0</v>
      </c>
      <c r="C5">
        <f>Zdroj!$E$13</f>
        <v>0</v>
      </c>
      <c r="D5">
        <f>Nositele!E3</f>
        <v>3.1E-2</v>
      </c>
      <c r="E5" s="167">
        <f t="shared" si="0"/>
        <v>0</v>
      </c>
      <c r="F5">
        <f>VLOOKUP($A5,Primární!$A$2:$B$14,2,FALSE)</f>
        <v>1</v>
      </c>
      <c r="G5" t="e">
        <f>VLOOKUP(TStaréKotle[[#Headers],[kotel na tuhá paliva]] &amp; "-" &amp; Zdroj!$I$5 &amp; "-" &amp; $A5,TKotleTP[],4,FALSE)</f>
        <v>#N/A</v>
      </c>
      <c r="H5" s="387" t="e">
        <f>VLOOKUP(TStaréKotle[[#Headers],[kotel na tuhá paliva]] &amp; "-" &amp; Zdroj!$I$5 &amp; "-" &amp; $A5,TKotleTP[],6,FALSE)</f>
        <v>#N/A</v>
      </c>
      <c r="I5" s="387" t="e">
        <f>VLOOKUP(TStaréKotle[[#Headers],[kotel na tuhá paliva]] &amp; "-" &amp; Zdroj!$I$5 &amp; "-" &amp; $A5,TKotleTP[],7,FALSE)</f>
        <v>#N/A</v>
      </c>
      <c r="J5">
        <f>Nositele!G3</f>
        <v>92.4</v>
      </c>
      <c r="K5">
        <f>Nositele!H3</f>
        <v>5.5</v>
      </c>
      <c r="L5" s="168">
        <f t="shared" si="1"/>
        <v>0</v>
      </c>
      <c r="M5" s="168">
        <f t="shared" si="2"/>
        <v>0</v>
      </c>
      <c r="N5" s="168">
        <f t="shared" si="3"/>
        <v>0</v>
      </c>
      <c r="O5" s="168">
        <f t="shared" si="4"/>
        <v>0</v>
      </c>
      <c r="P5" s="168">
        <f t="shared" ref="P5:P12" si="6">IFERROR(N5/$C5,0)</f>
        <v>0</v>
      </c>
      <c r="Q5" t="b">
        <f t="shared" ref="Q5:Q11" si="7">AND(P5&gt;=1000,P5&lt;=7000)</f>
        <v>0</v>
      </c>
      <c r="R5" s="168">
        <f t="shared" si="5"/>
        <v>0</v>
      </c>
      <c r="S5" s="392" t="e">
        <f t="shared" ref="S5:S12" si="8">L5*$G5</f>
        <v>#N/A</v>
      </c>
      <c r="T5" s="392" t="e">
        <f t="shared" ref="T5:T12" si="9">S5*$H5</f>
        <v>#N/A</v>
      </c>
      <c r="U5" s="392" t="e">
        <f t="shared" ref="U5:U12" si="10">T5*$I5</f>
        <v>#N/A</v>
      </c>
      <c r="V5" s="168">
        <f t="shared" ref="V5:V12" si="11">K5*L5</f>
        <v>0</v>
      </c>
    </row>
    <row r="6" spans="1:22">
      <c r="A6" t="str">
        <f>ParametryZdroje!M11</f>
        <v>palivové dřevo</v>
      </c>
      <c r="B6" t="b">
        <f>AND(ZdrojIdxOld=1,Zdroj!$I$6=A6)</f>
        <v>0</v>
      </c>
      <c r="C6">
        <f>Zdroj!$E$13</f>
        <v>0</v>
      </c>
      <c r="D6">
        <f>Nositele!E4</f>
        <v>1.4E-2</v>
      </c>
      <c r="E6" s="167">
        <f t="shared" si="0"/>
        <v>0</v>
      </c>
      <c r="F6">
        <f>VLOOKUP($A6,Primární!$A$2:$B$14,2,FALSE)</f>
        <v>1</v>
      </c>
      <c r="G6" t="e">
        <f>VLOOKUP(TStaréKotle[[#Headers],[kotel na tuhá paliva]] &amp; "-" &amp; Zdroj!$I$5 &amp; "-" &amp; $A6,TKotleTP[],4,FALSE)</f>
        <v>#N/A</v>
      </c>
      <c r="H6" s="387" t="e">
        <f>VLOOKUP(TStaréKotle[[#Headers],[kotel na tuhá paliva]] &amp; "-" &amp; Zdroj!$I$5 &amp; "-" &amp; $A6,TKotleTP[],6,FALSE)</f>
        <v>#N/A</v>
      </c>
      <c r="I6" s="387" t="e">
        <f>VLOOKUP(TStaréKotle[[#Headers],[kotel na tuhá paliva]] &amp; "-" &amp; Zdroj!$I$5 &amp; "-" &amp; $A6,TKotleTP[],7,FALSE)</f>
        <v>#N/A</v>
      </c>
      <c r="J6">
        <f>Nositele!G4</f>
        <v>0</v>
      </c>
      <c r="K6">
        <f>Nositele!H4</f>
        <v>3.5</v>
      </c>
      <c r="L6" s="168">
        <f t="shared" si="1"/>
        <v>0</v>
      </c>
      <c r="M6" s="168">
        <f t="shared" si="2"/>
        <v>0</v>
      </c>
      <c r="N6" s="168">
        <f t="shared" si="3"/>
        <v>0</v>
      </c>
      <c r="O6" s="168">
        <f t="shared" si="4"/>
        <v>0</v>
      </c>
      <c r="P6" s="168">
        <f t="shared" si="6"/>
        <v>0</v>
      </c>
      <c r="Q6" t="b">
        <f t="shared" si="7"/>
        <v>0</v>
      </c>
      <c r="R6" s="168">
        <f t="shared" si="5"/>
        <v>0</v>
      </c>
      <c r="S6" s="392" t="e">
        <f t="shared" si="8"/>
        <v>#N/A</v>
      </c>
      <c r="T6" s="392" t="e">
        <f t="shared" si="9"/>
        <v>#N/A</v>
      </c>
      <c r="U6" s="392" t="e">
        <f t="shared" si="10"/>
        <v>#N/A</v>
      </c>
      <c r="V6" s="168">
        <f t="shared" si="11"/>
        <v>0</v>
      </c>
    </row>
    <row r="7" spans="1:22">
      <c r="A7" t="str">
        <f>ParametryZdroje!M12</f>
        <v>pelety</v>
      </c>
      <c r="B7" t="b">
        <f>AND(ZdrojIdxOld=1,Zdroj!$I$6=A7)</f>
        <v>0</v>
      </c>
      <c r="C7">
        <f>Zdroj!$E$13</f>
        <v>0</v>
      </c>
      <c r="D7">
        <f>Nositele!E5</f>
        <v>1.7000000000000001E-2</v>
      </c>
      <c r="E7" s="167">
        <f t="shared" si="0"/>
        <v>0</v>
      </c>
      <c r="F7">
        <f>VLOOKUP($A7,Primární!$A$2:$B$14,2,FALSE)</f>
        <v>1</v>
      </c>
      <c r="G7" t="e">
        <f>VLOOKUP(TStaréKotle[[#Headers],[kotel na tuhá paliva]] &amp; "-" &amp; Zdroj!$I$5 &amp; "-" &amp; $A7,TKotleTP[],4,FALSE)</f>
        <v>#N/A</v>
      </c>
      <c r="H7" s="387" t="e">
        <f>VLOOKUP(TStaréKotle[[#Headers],[kotel na tuhá paliva]] &amp; "-" &amp; Zdroj!$I$5 &amp; "-" &amp; $A7,TKotleTP[],6,FALSE)</f>
        <v>#N/A</v>
      </c>
      <c r="I7" s="387" t="e">
        <f>VLOOKUP(TStaréKotle[[#Headers],[kotel na tuhá paliva]] &amp; "-" &amp; Zdroj!$I$5 &amp; "-" &amp; $A7,TKotleTP[],7,FALSE)</f>
        <v>#N/A</v>
      </c>
      <c r="J7">
        <f>Nositele!G5</f>
        <v>0</v>
      </c>
      <c r="K7">
        <f>Nositele!H5</f>
        <v>5.4</v>
      </c>
      <c r="L7" s="168">
        <f t="shared" si="1"/>
        <v>0</v>
      </c>
      <c r="M7" s="168">
        <f t="shared" si="2"/>
        <v>0</v>
      </c>
      <c r="N7" s="168">
        <f t="shared" si="3"/>
        <v>0</v>
      </c>
      <c r="O7" s="168">
        <f t="shared" si="4"/>
        <v>0</v>
      </c>
      <c r="P7" s="168">
        <f t="shared" si="6"/>
        <v>0</v>
      </c>
      <c r="Q7" t="b">
        <f t="shared" si="7"/>
        <v>0</v>
      </c>
      <c r="R7" s="168">
        <f t="shared" si="5"/>
        <v>0</v>
      </c>
      <c r="S7" s="392" t="e">
        <f t="shared" si="8"/>
        <v>#N/A</v>
      </c>
      <c r="T7" s="392" t="e">
        <f t="shared" si="9"/>
        <v>#N/A</v>
      </c>
      <c r="U7" s="392" t="e">
        <f t="shared" si="10"/>
        <v>#N/A</v>
      </c>
      <c r="V7" s="168">
        <f t="shared" si="11"/>
        <v>0</v>
      </c>
    </row>
    <row r="8" spans="1:22">
      <c r="A8" t="str">
        <f>ParametryZdroje!M14</f>
        <v>zemní plyn</v>
      </c>
      <c r="B8" t="b">
        <f>ZdrojIdxOld=2</f>
        <v>0</v>
      </c>
      <c r="C8">
        <f>Zdroj!$E$13</f>
        <v>0</v>
      </c>
      <c r="D8">
        <f>Nositele!E6</f>
        <v>3.4000000000000002E-2</v>
      </c>
      <c r="E8" s="167">
        <f t="shared" si="0"/>
        <v>0</v>
      </c>
      <c r="F8">
        <f>VLOOKUP($A8,Primární!$A$2:$B$14,2,FALSE)</f>
        <v>1</v>
      </c>
      <c r="G8">
        <f>Nositele!M6</f>
        <v>6.9E-6</v>
      </c>
      <c r="H8" s="387">
        <f>Nositele!O6</f>
        <v>1</v>
      </c>
      <c r="I8" s="387">
        <f>Nositele!P6</f>
        <v>1</v>
      </c>
      <c r="J8">
        <f>Nositele!G6</f>
        <v>55.4</v>
      </c>
      <c r="K8">
        <f>Nositele!H6</f>
        <v>10</v>
      </c>
      <c r="L8" s="168">
        <f t="shared" si="1"/>
        <v>0</v>
      </c>
      <c r="M8" s="168">
        <f t="shared" si="2"/>
        <v>0</v>
      </c>
      <c r="N8" s="168">
        <f t="shared" si="3"/>
        <v>0</v>
      </c>
      <c r="O8" s="168">
        <f t="shared" si="4"/>
        <v>0</v>
      </c>
      <c r="P8" s="168">
        <f t="shared" si="6"/>
        <v>0</v>
      </c>
      <c r="Q8" t="b">
        <f t="shared" si="7"/>
        <v>0</v>
      </c>
      <c r="R8" s="168">
        <f t="shared" si="5"/>
        <v>0</v>
      </c>
      <c r="S8" s="392">
        <f t="shared" si="8"/>
        <v>0</v>
      </c>
      <c r="T8" s="392">
        <f t="shared" si="9"/>
        <v>0</v>
      </c>
      <c r="U8" s="392">
        <f t="shared" si="10"/>
        <v>0</v>
      </c>
      <c r="V8" s="168">
        <f t="shared" si="11"/>
        <v>0</v>
      </c>
    </row>
    <row r="9" spans="1:22">
      <c r="A9" t="str">
        <f>TStarýKotelHelp[[#This Row],[Nositel]]</f>
        <v>elektřina</v>
      </c>
      <c r="B9" t="b">
        <f>ZdrojIdxOld=3</f>
        <v>0</v>
      </c>
      <c r="C9">
        <f>Zdroj!$E$13</f>
        <v>0</v>
      </c>
      <c r="D9">
        <f>Nositele!E7</f>
        <v>3.5999999999999999E-3</v>
      </c>
      <c r="E9" s="167">
        <f t="shared" si="0"/>
        <v>0</v>
      </c>
      <c r="F9">
        <f>VLOOKUP($A9,Primární!$A$2:$B$14,2,FALSE)</f>
        <v>2.2999999999999998</v>
      </c>
      <c r="G9">
        <f>Nositele!M7</f>
        <v>3.68E-5</v>
      </c>
      <c r="H9" s="387">
        <f>Nositele!O7</f>
        <v>0.85</v>
      </c>
      <c r="I9" s="387">
        <f>Nositele!P7</f>
        <v>0.65</v>
      </c>
      <c r="J9">
        <f>Nositele!G7</f>
        <v>239</v>
      </c>
      <c r="K9">
        <f>Nositele!H7</f>
        <v>2.67</v>
      </c>
      <c r="L9" s="168">
        <f t="shared" si="1"/>
        <v>0</v>
      </c>
      <c r="M9" s="168">
        <f t="shared" si="2"/>
        <v>0</v>
      </c>
      <c r="N9" s="168">
        <f t="shared" si="3"/>
        <v>0</v>
      </c>
      <c r="O9" s="168">
        <f t="shared" si="4"/>
        <v>0</v>
      </c>
      <c r="P9" s="168">
        <f t="shared" si="6"/>
        <v>0</v>
      </c>
      <c r="Q9" t="b">
        <f t="shared" si="7"/>
        <v>0</v>
      </c>
      <c r="R9" s="168">
        <f t="shared" si="5"/>
        <v>0</v>
      </c>
      <c r="S9" s="392">
        <f t="shared" si="8"/>
        <v>0</v>
      </c>
      <c r="T9" s="392">
        <f t="shared" si="9"/>
        <v>0</v>
      </c>
      <c r="U9" s="392">
        <f t="shared" si="10"/>
        <v>0</v>
      </c>
      <c r="V9" s="168">
        <f t="shared" si="11"/>
        <v>0</v>
      </c>
    </row>
    <row r="10" spans="1:22">
      <c r="A10" t="str">
        <f>ParametryZdroje!M13</f>
        <v>topný olej</v>
      </c>
      <c r="B10" t="b">
        <f>ZdrojIdxOld=4</f>
        <v>0</v>
      </c>
      <c r="C10">
        <f>Zdroj!$E$13</f>
        <v>0</v>
      </c>
      <c r="D10">
        <f>Nositele!E8</f>
        <v>3.4645000000000002E-2</v>
      </c>
      <c r="E10" s="167">
        <f t="shared" si="0"/>
        <v>0</v>
      </c>
      <c r="F10">
        <f>VLOOKUP($A10,Primární!$A$2:$B$14,2,FALSE)</f>
        <v>1.2</v>
      </c>
      <c r="G10">
        <f>Nositele!M8</f>
        <v>5.8879999999999999E-5</v>
      </c>
      <c r="H10" s="387">
        <f>Nositele!O8</f>
        <v>0.93</v>
      </c>
      <c r="I10" s="387">
        <f>Nositele!P8</f>
        <v>0.67</v>
      </c>
      <c r="J10">
        <f>Nositele!G8</f>
        <v>73.3</v>
      </c>
      <c r="K10">
        <f>Nositele!H8</f>
        <v>29.83</v>
      </c>
      <c r="L10" s="168">
        <f t="shared" si="1"/>
        <v>0</v>
      </c>
      <c r="M10" s="168">
        <f t="shared" si="2"/>
        <v>0</v>
      </c>
      <c r="N10" s="168">
        <f t="shared" si="3"/>
        <v>0</v>
      </c>
      <c r="O10" s="168">
        <f t="shared" si="4"/>
        <v>0</v>
      </c>
      <c r="P10" s="168">
        <f t="shared" si="6"/>
        <v>0</v>
      </c>
      <c r="Q10" t="b">
        <f t="shared" si="7"/>
        <v>0</v>
      </c>
      <c r="R10" s="168">
        <f t="shared" si="5"/>
        <v>0</v>
      </c>
      <c r="S10" s="392">
        <f t="shared" si="8"/>
        <v>0</v>
      </c>
      <c r="T10" s="392">
        <f t="shared" si="9"/>
        <v>0</v>
      </c>
      <c r="U10" s="392">
        <f t="shared" si="10"/>
        <v>0</v>
      </c>
      <c r="V10" s="168">
        <f t="shared" si="11"/>
        <v>0</v>
      </c>
    </row>
    <row r="11" spans="1:22">
      <c r="A11" t="str">
        <f>TStaréKotle[[#Headers],[tepelné čerpadlo]]</f>
        <v>tepelné čerpadlo</v>
      </c>
      <c r="B11" t="b">
        <f>ZdrojIdxOld=5</f>
        <v>0</v>
      </c>
      <c r="C11">
        <f>Zdroj!$E$13</f>
        <v>0</v>
      </c>
      <c r="D11">
        <f>Nositele!E7</f>
        <v>3.5999999999999999E-3</v>
      </c>
      <c r="E11" s="167">
        <f t="shared" si="0"/>
        <v>0</v>
      </c>
      <c r="F11">
        <f>F9</f>
        <v>2.2999999999999998</v>
      </c>
      <c r="G11">
        <f>Nositele!M7</f>
        <v>3.68E-5</v>
      </c>
      <c r="H11" s="387">
        <f>Nositele!O7</f>
        <v>0.85</v>
      </c>
      <c r="I11" s="387">
        <f>Nositele!P7</f>
        <v>0.65</v>
      </c>
      <c r="J11">
        <f>Nositele!G7</f>
        <v>239</v>
      </c>
      <c r="K11">
        <f>Nositele!H7</f>
        <v>2.67</v>
      </c>
      <c r="L11" s="168">
        <f t="shared" si="1"/>
        <v>0</v>
      </c>
      <c r="M11" s="168">
        <f t="shared" si="2"/>
        <v>0</v>
      </c>
      <c r="N11" s="168">
        <f t="shared" si="3"/>
        <v>0</v>
      </c>
      <c r="O11" s="168">
        <f t="shared" si="4"/>
        <v>0</v>
      </c>
      <c r="P11" s="168">
        <f t="shared" si="6"/>
        <v>0</v>
      </c>
      <c r="Q11" t="b">
        <f t="shared" si="7"/>
        <v>0</v>
      </c>
      <c r="R11" s="168">
        <f t="shared" si="5"/>
        <v>0</v>
      </c>
      <c r="S11" s="392">
        <f t="shared" si="8"/>
        <v>0</v>
      </c>
      <c r="T11" s="392">
        <f t="shared" si="9"/>
        <v>0</v>
      </c>
      <c r="U11" s="392">
        <f t="shared" si="10"/>
        <v>0</v>
      </c>
      <c r="V11" s="168">
        <f t="shared" si="11"/>
        <v>0</v>
      </c>
    </row>
    <row r="12" spans="1:22">
      <c r="A12" t="str">
        <f>TStaréKotle[[#Headers],[centrální zásobování teplem]] &amp; " - energie"</f>
        <v>centrální zásobování teplem - energie</v>
      </c>
      <c r="B12" t="b">
        <f>ZdrojIdxOld=6</f>
        <v>0</v>
      </c>
      <c r="C12">
        <v>0</v>
      </c>
      <c r="D12">
        <f>Nositele!E12</f>
        <v>1</v>
      </c>
      <c r="E12" s="167">
        <f t="shared" si="0"/>
        <v>0</v>
      </c>
      <c r="F12">
        <f>IF(Typ_SZT=1,Primární!$E$2,IF(Typ_SZT=2,Primární!$E$3,0))</f>
        <v>0</v>
      </c>
      <c r="G12">
        <f>IFERROR(VLOOKUP(Zdroj!$I$6,TNositele[],11,FALSE),0)</f>
        <v>0</v>
      </c>
      <c r="H12" s="387">
        <f>IFERROR(VLOOKUP(Zdroj!$I$6,TNositele[],13,FALSE),0)</f>
        <v>0</v>
      </c>
      <c r="I12" s="387">
        <f>IFERROR(VLOOKUP(Zdroj!$I$6,TNositele[],14,FALSE),0)</f>
        <v>0</v>
      </c>
      <c r="J12">
        <f>IFERROR(VLOOKUP(Zdroj!$I$6,TNositele[],5,FALSE)/100,0)</f>
        <v>0</v>
      </c>
      <c r="K12">
        <f>Nositele!H12</f>
        <v>400</v>
      </c>
      <c r="L12" s="168">
        <f t="shared" si="1"/>
        <v>0</v>
      </c>
      <c r="M12" s="168">
        <f t="shared" si="2"/>
        <v>0</v>
      </c>
      <c r="N12" s="168">
        <f t="shared" si="3"/>
        <v>0</v>
      </c>
      <c r="O12" s="168">
        <f t="shared" si="4"/>
        <v>0</v>
      </c>
      <c r="P12" s="168">
        <f t="shared" si="6"/>
        <v>0</v>
      </c>
      <c r="Q12" t="b">
        <v>1</v>
      </c>
      <c r="R12" s="168">
        <f>IFERROR(M12*kWh_na_GJ*$J12*$F$12,0)</f>
        <v>0</v>
      </c>
      <c r="S12" s="392">
        <f t="shared" si="8"/>
        <v>0</v>
      </c>
      <c r="T12" s="392">
        <f t="shared" si="9"/>
        <v>0</v>
      </c>
      <c r="U12" s="392">
        <f t="shared" si="10"/>
        <v>0</v>
      </c>
      <c r="V12" s="168">
        <f t="shared" si="11"/>
        <v>0</v>
      </c>
    </row>
    <row r="13" spans="1:22">
      <c r="A13" s="393">
        <f>IFERROR(INDEX(A$4:A$12,$B$13),0)</f>
        <v>0</v>
      </c>
      <c r="B13" s="393">
        <f>IFERROR(MATCH(TRUE,$B$4:$B$12,0),0)</f>
        <v>0</v>
      </c>
      <c r="C13" s="393"/>
      <c r="D13" s="393"/>
      <c r="E13" s="393"/>
      <c r="F13" s="393"/>
      <c r="G13" s="393"/>
      <c r="H13" s="393"/>
      <c r="I13" s="393"/>
      <c r="J13" s="393"/>
      <c r="K13" s="393"/>
      <c r="L13" s="394">
        <f t="shared" ref="L13:V13" si="12">IFERROR(INDEX(L$4:L$12,$B$13),0)</f>
        <v>0</v>
      </c>
      <c r="M13" s="394">
        <f t="shared" si="12"/>
        <v>0</v>
      </c>
      <c r="N13" s="394">
        <f t="shared" si="12"/>
        <v>0</v>
      </c>
      <c r="O13" s="394">
        <f t="shared" si="12"/>
        <v>0</v>
      </c>
      <c r="P13" s="394">
        <f t="shared" si="12"/>
        <v>0</v>
      </c>
      <c r="Q13" s="393">
        <f t="shared" si="12"/>
        <v>0</v>
      </c>
      <c r="R13" s="394">
        <f t="shared" si="12"/>
        <v>0</v>
      </c>
      <c r="S13" s="395">
        <f t="shared" si="12"/>
        <v>0</v>
      </c>
      <c r="T13" s="395">
        <f t="shared" si="12"/>
        <v>0</v>
      </c>
      <c r="U13" s="395">
        <f t="shared" si="12"/>
        <v>0</v>
      </c>
      <c r="V13" s="394">
        <f t="shared" si="12"/>
        <v>0</v>
      </c>
    </row>
    <row r="14" spans="1:22">
      <c r="A14" s="284"/>
      <c r="B14" s="284"/>
      <c r="C14" s="284"/>
      <c r="D14" s="284"/>
      <c r="E14" s="284"/>
      <c r="F14" s="284"/>
      <c r="G14" s="284"/>
      <c r="H14" s="396"/>
      <c r="I14" s="396"/>
      <c r="J14" s="284"/>
      <c r="K14" s="284"/>
      <c r="L14" s="397"/>
      <c r="M14" s="397"/>
      <c r="N14" s="397"/>
      <c r="O14" s="397"/>
      <c r="P14" s="397"/>
      <c r="Q14" s="284"/>
      <c r="R14" s="397"/>
      <c r="S14" s="398"/>
      <c r="T14" s="398"/>
      <c r="U14" s="398"/>
    </row>
    <row r="15" spans="1:22">
      <c r="A15" s="284"/>
      <c r="B15" s="284"/>
      <c r="C15" s="284"/>
      <c r="D15" s="284"/>
      <c r="E15" s="284"/>
      <c r="F15" s="284"/>
      <c r="G15" s="284"/>
      <c r="H15" s="396"/>
      <c r="I15" s="396"/>
      <c r="J15" s="284"/>
      <c r="K15" s="284"/>
      <c r="L15" s="397"/>
      <c r="M15" s="397"/>
      <c r="N15" s="397"/>
      <c r="O15" s="397"/>
      <c r="P15" s="397"/>
      <c r="Q15" s="284"/>
      <c r="R15" s="397"/>
      <c r="S15" s="398"/>
      <c r="T15" s="398"/>
      <c r="U15" s="398"/>
    </row>
    <row r="16" spans="1:22" ht="21">
      <c r="A16" s="390" t="s">
        <v>239</v>
      </c>
    </row>
    <row r="18" spans="1:22" ht="60">
      <c r="A18" s="391" t="s">
        <v>845</v>
      </c>
      <c r="B18" s="391" t="s">
        <v>867</v>
      </c>
      <c r="C18" s="391" t="s">
        <v>847</v>
      </c>
      <c r="D18" s="391" t="s">
        <v>848</v>
      </c>
      <c r="E18" s="391" t="s">
        <v>849</v>
      </c>
      <c r="F18" s="391" t="s">
        <v>850</v>
      </c>
      <c r="G18" s="391" t="s">
        <v>851</v>
      </c>
      <c r="H18" s="391" t="s">
        <v>852</v>
      </c>
      <c r="I18" s="391" t="s">
        <v>853</v>
      </c>
      <c r="J18" s="391" t="s">
        <v>854</v>
      </c>
      <c r="K18" s="391" t="s">
        <v>855</v>
      </c>
      <c r="L18" s="391" t="s">
        <v>856</v>
      </c>
      <c r="M18" s="391" t="s">
        <v>857</v>
      </c>
      <c r="N18" s="391" t="s">
        <v>858</v>
      </c>
      <c r="O18" s="391" t="s">
        <v>1027</v>
      </c>
      <c r="P18" s="391" t="s">
        <v>859</v>
      </c>
      <c r="Q18" s="391" t="s">
        <v>860</v>
      </c>
      <c r="R18" s="391" t="s">
        <v>861</v>
      </c>
      <c r="S18" s="391" t="s">
        <v>862</v>
      </c>
      <c r="T18" s="391" t="s">
        <v>863</v>
      </c>
      <c r="U18" s="391" t="s">
        <v>864</v>
      </c>
      <c r="V18" s="391" t="s">
        <v>865</v>
      </c>
    </row>
    <row r="19" spans="1:22">
      <c r="A19" t="str">
        <f t="array" ref="A19:A22">ParametryZdroje!$B$30:$B$33</f>
        <v>kotel na štěpku, pelety nebo brikety</v>
      </c>
      <c r="B19" t="b">
        <f>ZdrojIdxNew=1</f>
        <v>0</v>
      </c>
      <c r="C19" s="168">
        <f>Zdroj!$E$19</f>
        <v>0</v>
      </c>
      <c r="D19">
        <f>Nositele!E5</f>
        <v>1.7000000000000001E-2</v>
      </c>
      <c r="E19" s="167">
        <f>Účinnost_nová</f>
        <v>0</v>
      </c>
      <c r="F19">
        <f>F7</f>
        <v>1</v>
      </c>
      <c r="G19">
        <f>Nositele!$F$45</f>
        <v>2.1199999999999999E-3</v>
      </c>
      <c r="H19" s="387">
        <f>Nositele!H45</f>
        <v>0.998</v>
      </c>
      <c r="I19" s="387">
        <f>Nositele!I45</f>
        <v>0.98799999999999999</v>
      </c>
      <c r="J19">
        <f>Nositele!G5</f>
        <v>0</v>
      </c>
      <c r="K19">
        <f>Nositele!H5</f>
        <v>5.4</v>
      </c>
      <c r="L19" s="168">
        <f>M19*kWh_na_GJ/$D19</f>
        <v>0</v>
      </c>
      <c r="M19" s="168">
        <f>IFERROR(N19/$E19,0)</f>
        <v>0</v>
      </c>
      <c r="N19" s="168">
        <f>US_z_listu_kotel</f>
        <v>0</v>
      </c>
      <c r="O19" s="168">
        <f>M19*$F19</f>
        <v>0</v>
      </c>
      <c r="P19" s="168">
        <f t="shared" ref="P19:P22" si="13">IFERROR(N19/$C19,0)</f>
        <v>0</v>
      </c>
      <c r="Q19" t="b">
        <f t="shared" ref="Q19:Q22" si="14">AND(P19&gt;=1000,P19&lt;=7000)</f>
        <v>0</v>
      </c>
      <c r="R19" s="168">
        <f>IFERROR(M19*kWh_na_GJ*$J19,0)</f>
        <v>0</v>
      </c>
      <c r="S19" s="392">
        <f t="shared" ref="S19:S22" si="15">L19*$G19</f>
        <v>0</v>
      </c>
      <c r="T19" s="392">
        <f t="shared" ref="T19:T22" si="16">S19*$H19</f>
        <v>0</v>
      </c>
      <c r="U19" s="392">
        <f t="shared" ref="U19" si="17">T19*$I19</f>
        <v>0</v>
      </c>
      <c r="V19" s="168">
        <f t="shared" ref="V19:V22" si="18">K19*L19</f>
        <v>0</v>
      </c>
    </row>
    <row r="20" spans="1:22">
      <c r="A20" t="str">
        <v>kotel na odpadní dřevo</v>
      </c>
      <c r="B20" t="b">
        <f>ZdrojIdxNew=2</f>
        <v>0</v>
      </c>
      <c r="C20" s="168">
        <f>Zdroj!$E$19</f>
        <v>0</v>
      </c>
      <c r="D20">
        <f>Nositele!E9</f>
        <v>1.7000000000000001E-2</v>
      </c>
      <c r="E20" s="167">
        <f>Účinnost_nová</f>
        <v>0</v>
      </c>
      <c r="F20">
        <f>VLOOKUP("odpadní dřevo",Primární!$A$2:$B$14,2,FALSE)</f>
        <v>1</v>
      </c>
      <c r="G20">
        <f>Nositele!$F$41</f>
        <v>2.1199999999999999E-3</v>
      </c>
      <c r="H20" s="387">
        <f>Nositele!H41</f>
        <v>0.998</v>
      </c>
      <c r="I20" s="387">
        <f>Nositele!I41</f>
        <v>0.99099999999999999</v>
      </c>
      <c r="J20">
        <f>Nositele!G9</f>
        <v>0</v>
      </c>
      <c r="K20">
        <f>Nositele!H9</f>
        <v>0</v>
      </c>
      <c r="L20" s="168">
        <f>M20*kWh_na_GJ/$D20</f>
        <v>0</v>
      </c>
      <c r="M20" s="168">
        <f t="shared" ref="M20:M22" si="19">IFERROR(N20/$E20,0)</f>
        <v>0</v>
      </c>
      <c r="N20" s="168">
        <f>US_z_listu_kotel</f>
        <v>0</v>
      </c>
      <c r="O20" s="168">
        <f t="shared" ref="O20:O22" si="20">M20*$F20</f>
        <v>0</v>
      </c>
      <c r="P20" s="168">
        <f t="shared" si="13"/>
        <v>0</v>
      </c>
      <c r="Q20" t="b">
        <f t="shared" si="14"/>
        <v>0</v>
      </c>
      <c r="R20" s="168">
        <f>IFERROR(M20*kWh_na_GJ*$J20,0)</f>
        <v>0</v>
      </c>
      <c r="S20" s="392">
        <f t="shared" si="15"/>
        <v>0</v>
      </c>
      <c r="T20" s="392">
        <f t="shared" si="16"/>
        <v>0</v>
      </c>
      <c r="U20" s="392">
        <f>S20*$I20</f>
        <v>0</v>
      </c>
      <c r="V20" s="168">
        <f t="shared" si="18"/>
        <v>0</v>
      </c>
    </row>
    <row r="21" spans="1:22">
      <c r="A21" t="str">
        <v>kotel na bioplyn</v>
      </c>
      <c r="B21" t="b">
        <f>ZdrojIdxNew=3</f>
        <v>0</v>
      </c>
      <c r="C21" s="168">
        <f>Zdroj!$E$19</f>
        <v>0</v>
      </c>
      <c r="D21">
        <f>Nositele!E10</f>
        <v>3.4000000000000002E-2</v>
      </c>
      <c r="E21" s="167">
        <f>Účinnost_nová</f>
        <v>0</v>
      </c>
      <c r="F21">
        <f>VLOOKUP("bioplyn",Primární!$A$2:$B$14,2,FALSE)</f>
        <v>1.2</v>
      </c>
      <c r="G21">
        <f>Nositele!M10</f>
        <v>6.9E-6</v>
      </c>
      <c r="H21" s="387">
        <f>Nositele!O10</f>
        <v>1</v>
      </c>
      <c r="I21" s="387">
        <f>Nositele!P10</f>
        <v>1</v>
      </c>
      <c r="J21">
        <f>Nositele!G10</f>
        <v>0</v>
      </c>
      <c r="K21">
        <f>Nositele!H10</f>
        <v>0</v>
      </c>
      <c r="L21" s="168">
        <f>M21*kWh_na_GJ/$D21</f>
        <v>0</v>
      </c>
      <c r="M21" s="168">
        <f t="shared" si="19"/>
        <v>0</v>
      </c>
      <c r="N21" s="168">
        <f>US_z_listu_kotel</f>
        <v>0</v>
      </c>
      <c r="O21" s="168">
        <f t="shared" si="20"/>
        <v>0</v>
      </c>
      <c r="P21" s="168">
        <f t="shared" si="13"/>
        <v>0</v>
      </c>
      <c r="Q21" t="b">
        <f t="shared" si="14"/>
        <v>0</v>
      </c>
      <c r="R21" s="168">
        <f>IFERROR(M21*kWh_na_GJ*$J21,0)</f>
        <v>0</v>
      </c>
      <c r="S21" s="392">
        <f t="shared" si="15"/>
        <v>0</v>
      </c>
      <c r="T21" s="392">
        <f t="shared" si="16"/>
        <v>0</v>
      </c>
      <c r="U21" s="392">
        <f>S21*$I21</f>
        <v>0</v>
      </c>
      <c r="V21" s="168">
        <f t="shared" si="18"/>
        <v>0</v>
      </c>
    </row>
    <row r="22" spans="1:22">
      <c r="A22" t="str">
        <v>tepelné čerpadlo</v>
      </c>
      <c r="B22" t="b">
        <f>ZdrojIdxNew=4</f>
        <v>0</v>
      </c>
      <c r="C22" s="168">
        <f>Zdroj!$E$19</f>
        <v>0</v>
      </c>
      <c r="D22">
        <f>Nositele!E7</f>
        <v>3.5999999999999999E-3</v>
      </c>
      <c r="E22" s="167">
        <f>Účinnost_nová</f>
        <v>0</v>
      </c>
      <c r="F22">
        <f>F11</f>
        <v>2.2999999999999998</v>
      </c>
      <c r="G22">
        <f>Nositele!M7</f>
        <v>3.68E-5</v>
      </c>
      <c r="H22" s="387">
        <f>Nositele!O7</f>
        <v>0.85</v>
      </c>
      <c r="I22" s="387">
        <f>Nositele!P7</f>
        <v>0.65</v>
      </c>
      <c r="J22">
        <f>Nositele!G7</f>
        <v>239</v>
      </c>
      <c r="K22">
        <f>Nositele!H7</f>
        <v>2.67</v>
      </c>
      <c r="L22" s="168">
        <f>M22*kWh_na_GJ/$D22</f>
        <v>0</v>
      </c>
      <c r="M22" s="168">
        <f t="shared" si="19"/>
        <v>0</v>
      </c>
      <c r="N22" s="168">
        <f>US_z_listu_kotel</f>
        <v>0</v>
      </c>
      <c r="O22" s="168">
        <f t="shared" si="20"/>
        <v>0</v>
      </c>
      <c r="P22" s="168">
        <f t="shared" si="13"/>
        <v>0</v>
      </c>
      <c r="Q22" t="b">
        <f t="shared" si="14"/>
        <v>0</v>
      </c>
      <c r="R22" s="168">
        <f>IFERROR(M22*kWh_na_GJ*$J22,0)</f>
        <v>0</v>
      </c>
      <c r="S22" s="392">
        <f t="shared" si="15"/>
        <v>0</v>
      </c>
      <c r="T22" s="392">
        <f t="shared" si="16"/>
        <v>0</v>
      </c>
      <c r="U22" s="392">
        <f>S22*$I22</f>
        <v>0</v>
      </c>
      <c r="V22" s="168">
        <f t="shared" si="18"/>
        <v>0</v>
      </c>
    </row>
    <row r="23" spans="1:22">
      <c r="A23" s="393">
        <f>IFERROR(INDEX(A$19:A$21,$B$23),0)</f>
        <v>0</v>
      </c>
      <c r="B23" s="393">
        <f>IFERROR(MATCH(TRUE,$B$19:$B$22,0),0)</f>
        <v>0</v>
      </c>
      <c r="C23" s="393">
        <f>IFERROR(INDEX(C$19:C$22,$B$23),0)</f>
        <v>0</v>
      </c>
      <c r="D23" s="393">
        <f>IFERROR(INDEX(D$19:D$22,$B$23),0)</f>
        <v>0</v>
      </c>
      <c r="E23" s="393">
        <f t="shared" ref="E23:I23" si="21">IFERROR(INDEX(E$19:E$22,$B$23),0)</f>
        <v>0</v>
      </c>
      <c r="F23" s="393">
        <f t="shared" si="21"/>
        <v>0</v>
      </c>
      <c r="G23" s="393">
        <f t="shared" si="21"/>
        <v>0</v>
      </c>
      <c r="H23" s="393">
        <f t="shared" si="21"/>
        <v>0</v>
      </c>
      <c r="I23" s="393">
        <f t="shared" si="21"/>
        <v>0</v>
      </c>
      <c r="J23" s="393"/>
      <c r="K23" s="393"/>
      <c r="L23" s="394">
        <f t="shared" ref="L23:V23" si="22">IFERROR(INDEX(L$19:L$22,$B$23),0)</f>
        <v>0</v>
      </c>
      <c r="M23" s="394">
        <f t="shared" si="22"/>
        <v>0</v>
      </c>
      <c r="N23" s="394">
        <f t="shared" si="22"/>
        <v>0</v>
      </c>
      <c r="O23" s="394">
        <f t="shared" si="22"/>
        <v>0</v>
      </c>
      <c r="P23" s="394">
        <f t="shared" si="22"/>
        <v>0</v>
      </c>
      <c r="Q23" s="393">
        <f t="shared" si="22"/>
        <v>0</v>
      </c>
      <c r="R23" s="394">
        <f t="shared" si="22"/>
        <v>0</v>
      </c>
      <c r="S23" s="395">
        <f t="shared" si="22"/>
        <v>0</v>
      </c>
      <c r="T23" s="395">
        <f t="shared" si="22"/>
        <v>0</v>
      </c>
      <c r="U23" s="395">
        <f t="shared" si="22"/>
        <v>0</v>
      </c>
      <c r="V23" s="394">
        <f t="shared" si="22"/>
        <v>0</v>
      </c>
    </row>
    <row r="27" spans="1:22" ht="60">
      <c r="A27" s="391" t="s">
        <v>845</v>
      </c>
      <c r="B27" s="391" t="s">
        <v>867</v>
      </c>
      <c r="C27" s="391" t="s">
        <v>847</v>
      </c>
      <c r="D27" s="391" t="s">
        <v>848</v>
      </c>
      <c r="E27" s="391" t="s">
        <v>849</v>
      </c>
      <c r="F27" s="391" t="s">
        <v>850</v>
      </c>
      <c r="G27" s="391" t="s">
        <v>851</v>
      </c>
      <c r="H27" s="391" t="s">
        <v>852</v>
      </c>
      <c r="I27" s="391" t="s">
        <v>853</v>
      </c>
      <c r="J27" s="391" t="s">
        <v>854</v>
      </c>
      <c r="K27" s="391" t="s">
        <v>855</v>
      </c>
      <c r="L27" s="391" t="s">
        <v>856</v>
      </c>
      <c r="M27" s="391" t="s">
        <v>857</v>
      </c>
      <c r="N27" s="391" t="s">
        <v>858</v>
      </c>
      <c r="O27" s="391" t="s">
        <v>1027</v>
      </c>
      <c r="P27" s="391" t="s">
        <v>859</v>
      </c>
      <c r="Q27" s="391" t="s">
        <v>860</v>
      </c>
      <c r="R27" s="391" t="s">
        <v>861</v>
      </c>
      <c r="S27" s="391" t="s">
        <v>862</v>
      </c>
      <c r="T27" s="391" t="s">
        <v>863</v>
      </c>
      <c r="U27" s="391" t="s">
        <v>864</v>
      </c>
      <c r="V27" s="391" t="s">
        <v>865</v>
      </c>
    </row>
    <row r="28" spans="1:22">
      <c r="A28" s="393" t="s">
        <v>866</v>
      </c>
      <c r="B28" s="393"/>
      <c r="C28" s="393"/>
      <c r="D28" s="393"/>
      <c r="E28" s="393"/>
      <c r="F28" s="393"/>
      <c r="G28" s="393"/>
      <c r="H28" s="393"/>
      <c r="I28" s="393"/>
      <c r="J28" s="393"/>
      <c r="K28" s="393"/>
      <c r="L28" s="394"/>
      <c r="M28" s="394">
        <f>M13-M23</f>
        <v>0</v>
      </c>
      <c r="N28" s="394"/>
      <c r="O28" s="394">
        <f>O13-O23</f>
        <v>0</v>
      </c>
      <c r="P28" s="393"/>
      <c r="Q28" s="393"/>
      <c r="R28" s="394">
        <f>R13-R23</f>
        <v>0</v>
      </c>
      <c r="S28" s="395">
        <f>S13-S23</f>
        <v>0</v>
      </c>
      <c r="T28" s="395">
        <f>T13-T23</f>
        <v>0</v>
      </c>
      <c r="U28" s="395">
        <f>U13-U23</f>
        <v>0</v>
      </c>
      <c r="V28" s="394">
        <f>V13-V23</f>
        <v>0</v>
      </c>
    </row>
  </sheetData>
  <sheetProtection algorithmName="SHA-512" hashValue="NEBrfvKiULUTskpmapPxdxjBc4lnherQbddiHSeFvzNbV+1s6hDaJccd7Mto0H+JMlsd4rwFzkG6cw8Hktjz1w==" saltValue="yABKIg4KxoqwQdUnyJH9pA==" spinCount="100000" sheet="1" objects="1" scenarios="1"/>
  <pageMargins left="0.7" right="0.7" top="0.78740157499999996" bottom="0.78740157499999996" header="0.3" footer="0.3"/>
  <legacy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A7E061-13C3-40D1-B491-E52E6261B381}">
  <sheetPr codeName="List22"/>
  <dimension ref="A1:S32"/>
  <sheetViews>
    <sheetView workbookViewId="0">
      <selection activeCell="M19" sqref="M19"/>
    </sheetView>
  </sheetViews>
  <sheetFormatPr defaultRowHeight="15"/>
  <cols>
    <col min="1" max="1" width="38.85546875" bestFit="1" customWidth="1"/>
    <col min="2" max="2" width="12.28515625" bestFit="1" customWidth="1"/>
    <col min="3" max="3" width="12.28515625" customWidth="1"/>
    <col min="4" max="4" width="8.85546875" bestFit="1" customWidth="1"/>
    <col min="5" max="5" width="8.5703125" bestFit="1" customWidth="1"/>
    <col min="6" max="6" width="11" bestFit="1" customWidth="1"/>
    <col min="10" max="10" width="11.140625" bestFit="1" customWidth="1"/>
    <col min="11" max="12" width="10.140625" customWidth="1"/>
    <col min="13" max="13" width="9.85546875" bestFit="1" customWidth="1"/>
    <col min="14" max="14" width="11" customWidth="1"/>
    <col min="15" max="15" width="10.85546875" customWidth="1"/>
    <col min="16" max="16" width="10.28515625" customWidth="1"/>
    <col min="17" max="17" width="11.85546875" customWidth="1"/>
    <col min="18" max="18" width="12.28515625" bestFit="1" customWidth="1"/>
  </cols>
  <sheetData>
    <row r="1" spans="1:19" ht="21">
      <c r="A1" s="390" t="s">
        <v>387</v>
      </c>
      <c r="B1" s="390"/>
      <c r="C1" s="390"/>
    </row>
    <row r="3" spans="1:19" ht="60">
      <c r="A3" s="391" t="s">
        <v>845</v>
      </c>
      <c r="B3" s="391" t="s">
        <v>867</v>
      </c>
      <c r="C3" s="391" t="s">
        <v>848</v>
      </c>
      <c r="D3" s="391" t="s">
        <v>849</v>
      </c>
      <c r="E3" s="391" t="s">
        <v>850</v>
      </c>
      <c r="F3" s="391" t="s">
        <v>851</v>
      </c>
      <c r="G3" s="391" t="s">
        <v>852</v>
      </c>
      <c r="H3" s="391" t="s">
        <v>853</v>
      </c>
      <c r="I3" s="391" t="s">
        <v>854</v>
      </c>
      <c r="J3" s="391" t="s">
        <v>855</v>
      </c>
      <c r="K3" s="391" t="s">
        <v>856</v>
      </c>
      <c r="L3" s="391" t="s">
        <v>857</v>
      </c>
      <c r="M3" s="391" t="s">
        <v>858</v>
      </c>
      <c r="N3" s="391" t="s">
        <v>1027</v>
      </c>
      <c r="O3" s="391" t="s">
        <v>861</v>
      </c>
      <c r="P3" s="391" t="s">
        <v>862</v>
      </c>
      <c r="Q3" s="391" t="s">
        <v>863</v>
      </c>
      <c r="R3" s="391" t="s">
        <v>864</v>
      </c>
      <c r="S3" s="391" t="s">
        <v>865</v>
      </c>
    </row>
    <row r="4" spans="1:19">
      <c r="A4" t="str">
        <f>ParametryZdroje!M10</f>
        <v>hnědé uhlí</v>
      </c>
      <c r="B4" t="b">
        <f>OR(AND(ZdrojIdxBudova=1,Zateplení!$J$14=A19,NOT(je_zdroj)),AND(ZdrojIdxOld=1,Zdroj!$I$6=A4))</f>
        <v>0</v>
      </c>
      <c r="C4">
        <f>Nositele!E2</f>
        <v>1.7999999999999999E-2</v>
      </c>
      <c r="D4" s="167">
        <f t="shared" ref="D4:D12" si="0">Účinnost_stará</f>
        <v>0</v>
      </c>
      <c r="E4">
        <f>VLOOKUP($A4,Primární!$A$2:$B$14,2,FALSE)</f>
        <v>1</v>
      </c>
      <c r="F4">
        <f>Nositele!M2</f>
        <v>7.0399999999999998E-4</v>
      </c>
      <c r="G4" s="387">
        <f>Nositele!O2</f>
        <v>0.995</v>
      </c>
      <c r="H4" s="387">
        <f>Nositele!P2</f>
        <v>0.95200000000000007</v>
      </c>
      <c r="I4">
        <f>Nositele!G2</f>
        <v>99.1</v>
      </c>
      <c r="J4">
        <f>Nositele!H2</f>
        <v>3.4</v>
      </c>
      <c r="K4" s="168" t="e">
        <f t="shared" ref="K4:K12" ca="1" si="1">L4*kWh_na_GJ/$C4</f>
        <v>#DIV/0!</v>
      </c>
      <c r="L4" s="168" t="e">
        <f ca="1">M4/$D4</f>
        <v>#DIV/0!</v>
      </c>
      <c r="M4" s="168">
        <f ca="1">Bilance!$B$24</f>
        <v>0</v>
      </c>
      <c r="N4" s="168" t="e">
        <f t="shared" ref="N4:N12" ca="1" si="2">L4*E4</f>
        <v>#DIV/0!</v>
      </c>
      <c r="O4" s="168">
        <f t="shared" ref="O4:O11" ca="1" si="3">IFERROR(L4*kWh_na_GJ*$I4,0)</f>
        <v>0</v>
      </c>
      <c r="P4" s="392" t="e">
        <f t="shared" ref="P4:P12" ca="1" si="4">K4*$F4</f>
        <v>#DIV/0!</v>
      </c>
      <c r="Q4" s="392" t="e">
        <f ca="1">P4*$G4</f>
        <v>#DIV/0!</v>
      </c>
      <c r="R4" s="392" t="e">
        <f ca="1">Q4*$H4</f>
        <v>#DIV/0!</v>
      </c>
      <c r="S4" s="168" t="e">
        <f t="shared" ref="S4:S12" ca="1" si="5">J4*K4</f>
        <v>#DIV/0!</v>
      </c>
    </row>
    <row r="5" spans="1:19">
      <c r="A5" t="str">
        <f>ParametryZdroje!M8</f>
        <v>černé uhlí</v>
      </c>
      <c r="B5" t="b">
        <f>OR(AND(ZdrojIdxBudova=1,Zateplení!$J$14=A20,NOT(je_zdroj)),AND(ZdrojIdxOld=1,Zdroj!$I$6=A5))</f>
        <v>0</v>
      </c>
      <c r="C5">
        <f>Nositele!E3</f>
        <v>3.1E-2</v>
      </c>
      <c r="D5" s="167">
        <f t="shared" si="0"/>
        <v>0</v>
      </c>
      <c r="E5">
        <f>VLOOKUP($A5,Primární!$A$2:$B$14,2,FALSE)</f>
        <v>1</v>
      </c>
      <c r="F5">
        <f>Nositele!M3</f>
        <v>1.23E-3</v>
      </c>
      <c r="G5" s="387">
        <f>Nositele!O3</f>
        <v>0.998</v>
      </c>
      <c r="H5" s="387">
        <f>Nositele!P3</f>
        <v>0.98099999999999998</v>
      </c>
      <c r="I5">
        <f>Nositele!G3</f>
        <v>92.4</v>
      </c>
      <c r="J5">
        <f>Nositele!H3</f>
        <v>5.5</v>
      </c>
      <c r="K5" s="168" t="e">
        <f t="shared" ca="1" si="1"/>
        <v>#DIV/0!</v>
      </c>
      <c r="L5" s="168" t="e">
        <f t="shared" ref="L5:L12" ca="1" si="6">M5/$D5</f>
        <v>#DIV/0!</v>
      </c>
      <c r="M5" s="168">
        <f ca="1">Bilance!$B$24</f>
        <v>0</v>
      </c>
      <c r="N5" s="168" t="e">
        <f t="shared" ca="1" si="2"/>
        <v>#DIV/0!</v>
      </c>
      <c r="O5" s="168">
        <f t="shared" ca="1" si="3"/>
        <v>0</v>
      </c>
      <c r="P5" s="392" t="e">
        <f t="shared" ca="1" si="4"/>
        <v>#DIV/0!</v>
      </c>
      <c r="Q5" s="392" t="e">
        <f t="shared" ref="Q5:Q12" ca="1" si="7">P5*$G5</f>
        <v>#DIV/0!</v>
      </c>
      <c r="R5" s="392" t="e">
        <f t="shared" ref="R5:R12" ca="1" si="8">Q5*$H5</f>
        <v>#DIV/0!</v>
      </c>
      <c r="S5" s="168" t="e">
        <f t="shared" ca="1" si="5"/>
        <v>#DIV/0!</v>
      </c>
    </row>
    <row r="6" spans="1:19">
      <c r="A6" t="str">
        <f>ParametryZdroje!M11</f>
        <v>palivové dřevo</v>
      </c>
      <c r="B6" t="b">
        <f>OR(AND(ZdrojIdxBudova=1,Zateplení!$J$14=A21,NOT(je_zdroj)),AND(ZdrojIdxOld=1,Zdroj!$I$6=A6))</f>
        <v>0</v>
      </c>
      <c r="C6">
        <f>Nositele!E4</f>
        <v>1.4E-2</v>
      </c>
      <c r="D6" s="167">
        <f t="shared" si="0"/>
        <v>0</v>
      </c>
      <c r="E6">
        <f>VLOOKUP($A6,Primární!$A$2:$B$14,2,FALSE)</f>
        <v>1</v>
      </c>
      <c r="F6">
        <f>Nositele!M4</f>
        <v>2.1199999999999999E-3</v>
      </c>
      <c r="G6" s="387">
        <f>Nositele!O4</f>
        <v>0.998</v>
      </c>
      <c r="H6" s="387">
        <f>Nositele!P4</f>
        <v>0.99099999999999999</v>
      </c>
      <c r="I6">
        <f>Nositele!G4</f>
        <v>0</v>
      </c>
      <c r="J6">
        <f>Nositele!H4</f>
        <v>3.5</v>
      </c>
      <c r="K6" s="168" t="e">
        <f t="shared" ca="1" si="1"/>
        <v>#DIV/0!</v>
      </c>
      <c r="L6" s="168" t="e">
        <f t="shared" ca="1" si="6"/>
        <v>#DIV/0!</v>
      </c>
      <c r="M6" s="168">
        <f ca="1">Bilance!$B$24</f>
        <v>0</v>
      </c>
      <c r="N6" s="168" t="e">
        <f t="shared" ca="1" si="2"/>
        <v>#DIV/0!</v>
      </c>
      <c r="O6" s="168">
        <f t="shared" ca="1" si="3"/>
        <v>0</v>
      </c>
      <c r="P6" s="392" t="e">
        <f t="shared" ca="1" si="4"/>
        <v>#DIV/0!</v>
      </c>
      <c r="Q6" s="392" t="e">
        <f t="shared" ca="1" si="7"/>
        <v>#DIV/0!</v>
      </c>
      <c r="R6" s="392" t="e">
        <f t="shared" ca="1" si="8"/>
        <v>#DIV/0!</v>
      </c>
      <c r="S6" s="168" t="e">
        <f t="shared" ca="1" si="5"/>
        <v>#DIV/0!</v>
      </c>
    </row>
    <row r="7" spans="1:19">
      <c r="A7" t="str">
        <f>ParametryZdroje!M12</f>
        <v>pelety</v>
      </c>
      <c r="B7" t="b">
        <f>OR(AND(ZdrojIdxBudova=1,Zateplení!$J$14=A22,NOT(je_zdroj)),AND(ZdrojIdxOld=1,Zdroj!$I$6=A7))</f>
        <v>0</v>
      </c>
      <c r="C7">
        <f>Nositele!E5</f>
        <v>1.7000000000000001E-2</v>
      </c>
      <c r="D7" s="167">
        <f t="shared" si="0"/>
        <v>0</v>
      </c>
      <c r="E7">
        <f>VLOOKUP($A7,Primární!$A$2:$B$14,2,FALSE)</f>
        <v>1</v>
      </c>
      <c r="F7">
        <f>Nositele!M5</f>
        <v>2.6400000000000002E-4</v>
      </c>
      <c r="G7" s="387">
        <f>Nositele!O5</f>
        <v>0.998</v>
      </c>
      <c r="H7" s="387">
        <f>Nositele!P5</f>
        <v>0.98799999999999999</v>
      </c>
      <c r="I7">
        <f>Nositele!G5</f>
        <v>0</v>
      </c>
      <c r="J7">
        <f>Nositele!H5</f>
        <v>5.4</v>
      </c>
      <c r="K7" s="168" t="e">
        <f t="shared" ca="1" si="1"/>
        <v>#DIV/0!</v>
      </c>
      <c r="L7" s="168" t="e">
        <f t="shared" ca="1" si="6"/>
        <v>#DIV/0!</v>
      </c>
      <c r="M7" s="168">
        <f ca="1">Bilance!$B$24</f>
        <v>0</v>
      </c>
      <c r="N7" s="168" t="e">
        <f t="shared" ca="1" si="2"/>
        <v>#DIV/0!</v>
      </c>
      <c r="O7" s="168">
        <f t="shared" ca="1" si="3"/>
        <v>0</v>
      </c>
      <c r="P7" s="392" t="e">
        <f t="shared" ca="1" si="4"/>
        <v>#DIV/0!</v>
      </c>
      <c r="Q7" s="392" t="e">
        <f t="shared" ca="1" si="7"/>
        <v>#DIV/0!</v>
      </c>
      <c r="R7" s="392" t="e">
        <f t="shared" ca="1" si="8"/>
        <v>#DIV/0!</v>
      </c>
      <c r="S7" s="168" t="e">
        <f t="shared" ca="1" si="5"/>
        <v>#DIV/0!</v>
      </c>
    </row>
    <row r="8" spans="1:19">
      <c r="A8" t="str">
        <f>ParametryZdroje!M14</f>
        <v>zemní plyn</v>
      </c>
      <c r="B8" t="b">
        <f>OR(AND(ZdrojIdxBudova=2,NOT(je_zdroj)),ZdrojIdxOld=2)</f>
        <v>0</v>
      </c>
      <c r="C8">
        <f>Nositele!E6</f>
        <v>3.4000000000000002E-2</v>
      </c>
      <c r="D8" s="167">
        <f t="shared" si="0"/>
        <v>0</v>
      </c>
      <c r="E8">
        <f>VLOOKUP($A8,Primární!$A$2:$B$14,2,FALSE)</f>
        <v>1</v>
      </c>
      <c r="F8">
        <f>Nositele!M6</f>
        <v>6.9E-6</v>
      </c>
      <c r="G8" s="387">
        <f>Nositele!O6</f>
        <v>1</v>
      </c>
      <c r="H8" s="387">
        <f>Nositele!P6</f>
        <v>1</v>
      </c>
      <c r="I8">
        <f>Nositele!G6</f>
        <v>55.4</v>
      </c>
      <c r="J8">
        <f>Nositele!H6</f>
        <v>10</v>
      </c>
      <c r="K8" s="168" t="e">
        <f t="shared" ca="1" si="1"/>
        <v>#DIV/0!</v>
      </c>
      <c r="L8" s="168" t="e">
        <f t="shared" ca="1" si="6"/>
        <v>#DIV/0!</v>
      </c>
      <c r="M8" s="168">
        <f ca="1">Bilance!$B$24</f>
        <v>0</v>
      </c>
      <c r="N8" s="168" t="e">
        <f t="shared" ca="1" si="2"/>
        <v>#DIV/0!</v>
      </c>
      <c r="O8" s="168">
        <f t="shared" ca="1" si="3"/>
        <v>0</v>
      </c>
      <c r="P8" s="392" t="e">
        <f t="shared" ca="1" si="4"/>
        <v>#DIV/0!</v>
      </c>
      <c r="Q8" s="392" t="e">
        <f t="shared" ca="1" si="7"/>
        <v>#DIV/0!</v>
      </c>
      <c r="R8" s="392" t="e">
        <f t="shared" ca="1" si="8"/>
        <v>#DIV/0!</v>
      </c>
      <c r="S8" s="168" t="e">
        <f t="shared" ca="1" si="5"/>
        <v>#DIV/0!</v>
      </c>
    </row>
    <row r="9" spans="1:19">
      <c r="A9" t="str">
        <f>TStarýKotelHelp[[#This Row],[Nositel]]</f>
        <v>elektřina</v>
      </c>
      <c r="B9" t="b">
        <f>OR(AND(ZdrojIdxBudova=3,NOT(je_zdroj)),ZdrojIdxOld=3)</f>
        <v>0</v>
      </c>
      <c r="C9">
        <f>Nositele!E7</f>
        <v>3.5999999999999999E-3</v>
      </c>
      <c r="D9" s="167">
        <f t="shared" si="0"/>
        <v>0</v>
      </c>
      <c r="E9">
        <f>VLOOKUP($A9,Primární!$A$2:$B$14,2,FALSE)</f>
        <v>2.2999999999999998</v>
      </c>
      <c r="F9">
        <f>Nositele!M7</f>
        <v>3.68E-5</v>
      </c>
      <c r="G9" s="387">
        <f>Nositele!O7</f>
        <v>0.85</v>
      </c>
      <c r="H9" s="387">
        <f>Nositele!P7</f>
        <v>0.65</v>
      </c>
      <c r="I9">
        <f>Nositele!G7</f>
        <v>239</v>
      </c>
      <c r="J9">
        <f>Nositele!H7</f>
        <v>2.67</v>
      </c>
      <c r="K9" s="168" t="e">
        <f t="shared" ca="1" si="1"/>
        <v>#DIV/0!</v>
      </c>
      <c r="L9" s="168" t="e">
        <f t="shared" ca="1" si="6"/>
        <v>#DIV/0!</v>
      </c>
      <c r="M9" s="168">
        <f ca="1">Bilance!$B$24</f>
        <v>0</v>
      </c>
      <c r="N9" s="168" t="e">
        <f t="shared" ca="1" si="2"/>
        <v>#DIV/0!</v>
      </c>
      <c r="O9" s="168">
        <f t="shared" ca="1" si="3"/>
        <v>0</v>
      </c>
      <c r="P9" s="392" t="e">
        <f t="shared" ca="1" si="4"/>
        <v>#DIV/0!</v>
      </c>
      <c r="Q9" s="392" t="e">
        <f t="shared" ca="1" si="7"/>
        <v>#DIV/0!</v>
      </c>
      <c r="R9" s="392" t="e">
        <f t="shared" ca="1" si="8"/>
        <v>#DIV/0!</v>
      </c>
      <c r="S9" s="168" t="e">
        <f t="shared" ca="1" si="5"/>
        <v>#DIV/0!</v>
      </c>
    </row>
    <row r="10" spans="1:19">
      <c r="A10" t="str">
        <f>ParametryZdroje!M13</f>
        <v>topný olej</v>
      </c>
      <c r="B10" t="b">
        <f>OR(AND(ZdrojIdxBudova=4,NOT(je_zdroj)),ZdrojIdxOld=4)</f>
        <v>0</v>
      </c>
      <c r="C10">
        <f>Nositele!E8</f>
        <v>3.4645000000000002E-2</v>
      </c>
      <c r="D10" s="167">
        <f t="shared" si="0"/>
        <v>0</v>
      </c>
      <c r="E10">
        <f>VLOOKUP($A10,Primární!$A$2:$B$14,2,FALSE)</f>
        <v>1.2</v>
      </c>
      <c r="F10">
        <f>Nositele!M8</f>
        <v>5.8879999999999999E-5</v>
      </c>
      <c r="G10" s="387">
        <f>Nositele!O8</f>
        <v>0.93</v>
      </c>
      <c r="H10" s="387">
        <f>Nositele!P8</f>
        <v>0.67</v>
      </c>
      <c r="I10">
        <f>Nositele!G8</f>
        <v>73.3</v>
      </c>
      <c r="J10">
        <f>Nositele!H8</f>
        <v>29.83</v>
      </c>
      <c r="K10" s="168" t="e">
        <f t="shared" ca="1" si="1"/>
        <v>#DIV/0!</v>
      </c>
      <c r="L10" s="168" t="e">
        <f t="shared" ca="1" si="6"/>
        <v>#DIV/0!</v>
      </c>
      <c r="M10" s="168">
        <f ca="1">Bilance!$B$24</f>
        <v>0</v>
      </c>
      <c r="N10" s="168" t="e">
        <f t="shared" ca="1" si="2"/>
        <v>#DIV/0!</v>
      </c>
      <c r="O10" s="168">
        <f t="shared" ca="1" si="3"/>
        <v>0</v>
      </c>
      <c r="P10" s="392" t="e">
        <f t="shared" ca="1" si="4"/>
        <v>#DIV/0!</v>
      </c>
      <c r="Q10" s="392" t="e">
        <f t="shared" ca="1" si="7"/>
        <v>#DIV/0!</v>
      </c>
      <c r="R10" s="392" t="e">
        <f t="shared" ca="1" si="8"/>
        <v>#DIV/0!</v>
      </c>
      <c r="S10" s="168" t="e">
        <f t="shared" ca="1" si="5"/>
        <v>#DIV/0!</v>
      </c>
    </row>
    <row r="11" spans="1:19">
      <c r="A11" t="str">
        <f>TStaréKotle[[#Headers],[tepelné čerpadlo]]</f>
        <v>tepelné čerpadlo</v>
      </c>
      <c r="B11" t="b">
        <f>OR(AND(ZdrojIdxBudova=5,NOT(je_zdroj)),ZdrojIdxOld=5)</f>
        <v>0</v>
      </c>
      <c r="C11">
        <f>Nositele!E7</f>
        <v>3.5999999999999999E-3</v>
      </c>
      <c r="D11" s="167">
        <f t="shared" si="0"/>
        <v>0</v>
      </c>
      <c r="E11">
        <f>E9</f>
        <v>2.2999999999999998</v>
      </c>
      <c r="F11">
        <f>Nositele!M7</f>
        <v>3.68E-5</v>
      </c>
      <c r="G11" s="387">
        <f>Nositele!O7</f>
        <v>0.85</v>
      </c>
      <c r="H11" s="387">
        <f>Nositele!P7</f>
        <v>0.65</v>
      </c>
      <c r="I11">
        <f>Nositele!G7</f>
        <v>239</v>
      </c>
      <c r="J11">
        <f>Nositele!H7</f>
        <v>2.67</v>
      </c>
      <c r="K11" s="168" t="e">
        <f t="shared" ca="1" si="1"/>
        <v>#DIV/0!</v>
      </c>
      <c r="L11" s="168" t="e">
        <f t="shared" ca="1" si="6"/>
        <v>#DIV/0!</v>
      </c>
      <c r="M11" s="168">
        <f ca="1">Bilance!$B$24</f>
        <v>0</v>
      </c>
      <c r="N11" s="168" t="e">
        <f t="shared" ca="1" si="2"/>
        <v>#DIV/0!</v>
      </c>
      <c r="O11" s="168">
        <f t="shared" ca="1" si="3"/>
        <v>0</v>
      </c>
      <c r="P11" s="392" t="e">
        <f t="shared" ca="1" si="4"/>
        <v>#DIV/0!</v>
      </c>
      <c r="Q11" s="392" t="e">
        <f t="shared" ca="1" si="7"/>
        <v>#DIV/0!</v>
      </c>
      <c r="R11" s="392" t="e">
        <f t="shared" ca="1" si="8"/>
        <v>#DIV/0!</v>
      </c>
      <c r="S11" s="168" t="e">
        <f t="shared" ca="1" si="5"/>
        <v>#DIV/0!</v>
      </c>
    </row>
    <row r="12" spans="1:19">
      <c r="A12" t="str">
        <f>TStaréKotle[[#Headers],[centrální zásobování teplem]] &amp; " - energie"</f>
        <v>centrální zásobování teplem - energie</v>
      </c>
      <c r="B12" t="b">
        <f>OR(AND(ZdrojIdxBudova=6,NOT(je_zdroj)),ZdrojIdxOld=6)</f>
        <v>0</v>
      </c>
      <c r="C12">
        <f>Nositele!E12</f>
        <v>1</v>
      </c>
      <c r="D12" s="167">
        <f t="shared" si="0"/>
        <v>0</v>
      </c>
      <c r="E12">
        <f>IF(Typ_SZT=1,Primární!$E$2,IF(Typ_SZT=2,Primární!$E$3,0))</f>
        <v>0</v>
      </c>
      <c r="F12">
        <f>IFERROR(VLOOKUP(Zdroj!$I$6,TNositele[],11,FALSE),0)</f>
        <v>0</v>
      </c>
      <c r="G12" s="387">
        <f>IFERROR(VLOOKUP(Zdroj!$I$6,TNositele[],13,FALSE),0)</f>
        <v>0</v>
      </c>
      <c r="H12" s="387">
        <f>IFERROR(VLOOKUP(Zdroj!$I$6,TNositele[],14,FALSE),0)</f>
        <v>0</v>
      </c>
      <c r="I12">
        <f>IFERROR(VLOOKUP(Zdroj!$I$6,TNositele[],5,FALSE)/100,0)</f>
        <v>0</v>
      </c>
      <c r="J12">
        <f>Nositele!H12</f>
        <v>400</v>
      </c>
      <c r="K12" s="168" t="e">
        <f t="shared" ca="1" si="1"/>
        <v>#DIV/0!</v>
      </c>
      <c r="L12" s="168" t="e">
        <f t="shared" ca="1" si="6"/>
        <v>#DIV/0!</v>
      </c>
      <c r="M12" s="168">
        <f ca="1">Bilance!$B$24</f>
        <v>0</v>
      </c>
      <c r="N12" s="168" t="e">
        <f t="shared" ca="1" si="2"/>
        <v>#DIV/0!</v>
      </c>
      <c r="O12" s="168">
        <f ca="1">IFERROR(L12*kWh_na_GJ*$I12*$E$12,0)</f>
        <v>0</v>
      </c>
      <c r="P12" s="392" t="e">
        <f t="shared" ca="1" si="4"/>
        <v>#DIV/0!</v>
      </c>
      <c r="Q12" s="392" t="e">
        <f t="shared" ca="1" si="7"/>
        <v>#DIV/0!</v>
      </c>
      <c r="R12" s="392" t="e">
        <f t="shared" ca="1" si="8"/>
        <v>#DIV/0!</v>
      </c>
      <c r="S12" s="168" t="e">
        <f t="shared" ca="1" si="5"/>
        <v>#DIV/0!</v>
      </c>
    </row>
    <row r="13" spans="1:19">
      <c r="A13" s="393">
        <f>IFERROR(INDEX(A$4:A$12,$B$13),0)</f>
        <v>0</v>
      </c>
      <c r="B13" s="393">
        <f>IFERROR(MATCH(TRUE,$B$4:$B$12,0),0)</f>
        <v>0</v>
      </c>
      <c r="C13" s="395">
        <f t="shared" ref="C13:J13" si="9">IFERROR(INDEX(C$4:C$12,$B$13),0)</f>
        <v>0</v>
      </c>
      <c r="D13" s="562">
        <f t="shared" si="9"/>
        <v>0</v>
      </c>
      <c r="E13" s="394">
        <f t="shared" si="9"/>
        <v>0</v>
      </c>
      <c r="F13" s="563">
        <f t="shared" si="9"/>
        <v>0</v>
      </c>
      <c r="G13" s="562">
        <f t="shared" si="9"/>
        <v>0</v>
      </c>
      <c r="H13" s="562">
        <f t="shared" si="9"/>
        <v>0</v>
      </c>
      <c r="I13" s="561">
        <f t="shared" si="9"/>
        <v>0</v>
      </c>
      <c r="J13" s="561">
        <f t="shared" si="9"/>
        <v>0</v>
      </c>
      <c r="K13" s="394">
        <f t="shared" ref="K13:S13" si="10">IFERROR(INDEX(K$4:K$12,$B$13),0)</f>
        <v>0</v>
      </c>
      <c r="L13" s="394">
        <f t="shared" si="10"/>
        <v>0</v>
      </c>
      <c r="M13" s="394">
        <f t="shared" si="10"/>
        <v>0</v>
      </c>
      <c r="N13" s="394">
        <f t="shared" si="10"/>
        <v>0</v>
      </c>
      <c r="O13" s="394">
        <f t="shared" si="10"/>
        <v>0</v>
      </c>
      <c r="P13" s="395">
        <f t="shared" si="10"/>
        <v>0</v>
      </c>
      <c r="Q13" s="395">
        <f t="shared" si="10"/>
        <v>0</v>
      </c>
      <c r="R13" s="395">
        <f t="shared" si="10"/>
        <v>0</v>
      </c>
      <c r="S13" s="394">
        <f t="shared" si="10"/>
        <v>0</v>
      </c>
    </row>
    <row r="14" spans="1:19">
      <c r="A14" s="284"/>
      <c r="B14" s="284"/>
      <c r="C14" s="284"/>
      <c r="D14" s="284"/>
      <c r="E14" s="284"/>
      <c r="F14" s="284"/>
      <c r="G14" s="396"/>
      <c r="H14" s="396"/>
      <c r="I14" s="284"/>
      <c r="J14" s="284"/>
      <c r="K14" s="397"/>
      <c r="L14" s="397"/>
      <c r="M14" s="397"/>
      <c r="N14" s="397"/>
      <c r="O14" s="397"/>
      <c r="P14" s="398"/>
      <c r="Q14" s="398"/>
      <c r="R14" s="398"/>
    </row>
    <row r="15" spans="1:19">
      <c r="A15" s="284"/>
      <c r="B15" s="284"/>
      <c r="C15" s="284"/>
      <c r="D15" s="284"/>
      <c r="E15" s="284"/>
      <c r="F15" s="284"/>
      <c r="G15" s="396"/>
      <c r="H15" s="396"/>
      <c r="I15" s="284"/>
      <c r="J15" s="284"/>
      <c r="K15" s="397"/>
      <c r="L15" s="397"/>
      <c r="M15" s="397"/>
      <c r="N15" s="397"/>
      <c r="O15" s="397"/>
      <c r="P15" s="398"/>
      <c r="Q15" s="398"/>
      <c r="R15" s="398"/>
    </row>
    <row r="16" spans="1:19" ht="21">
      <c r="A16" s="390" t="s">
        <v>388</v>
      </c>
    </row>
    <row r="18" spans="1:19" ht="60">
      <c r="A18" s="391" t="s">
        <v>845</v>
      </c>
      <c r="B18" s="391" t="s">
        <v>867</v>
      </c>
      <c r="C18" s="391" t="s">
        <v>848</v>
      </c>
      <c r="D18" s="391" t="s">
        <v>849</v>
      </c>
      <c r="E18" s="391" t="s">
        <v>850</v>
      </c>
      <c r="F18" s="391" t="s">
        <v>851</v>
      </c>
      <c r="G18" s="391" t="s">
        <v>852</v>
      </c>
      <c r="H18" s="391" t="s">
        <v>853</v>
      </c>
      <c r="I18" s="391" t="s">
        <v>854</v>
      </c>
      <c r="J18" s="391" t="s">
        <v>855</v>
      </c>
      <c r="K18" s="391" t="s">
        <v>856</v>
      </c>
      <c r="L18" s="391" t="s">
        <v>857</v>
      </c>
      <c r="M18" s="391" t="s">
        <v>858</v>
      </c>
      <c r="N18" s="391" t="s">
        <v>1027</v>
      </c>
      <c r="O18" s="391" t="s">
        <v>861</v>
      </c>
      <c r="P18" s="391" t="s">
        <v>862</v>
      </c>
      <c r="Q18" s="391" t="s">
        <v>863</v>
      </c>
      <c r="R18" s="391" t="s">
        <v>864</v>
      </c>
      <c r="S18" s="391" t="s">
        <v>865</v>
      </c>
    </row>
    <row r="19" spans="1:19">
      <c r="A19" t="str">
        <f>A4</f>
        <v>hnědé uhlí</v>
      </c>
      <c r="B19" t="b">
        <f>B4</f>
        <v>0</v>
      </c>
      <c r="C19">
        <f>C4</f>
        <v>1.7999999999999999E-2</v>
      </c>
      <c r="D19" s="167">
        <f t="shared" ref="D19:D27" si="11">Účinnost_stará</f>
        <v>0</v>
      </c>
      <c r="E19">
        <f t="shared" ref="E19:J19" si="12">E4</f>
        <v>1</v>
      </c>
      <c r="F19">
        <f t="shared" si="12"/>
        <v>7.0399999999999998E-4</v>
      </c>
      <c r="G19" s="387">
        <f t="shared" si="12"/>
        <v>0.995</v>
      </c>
      <c r="H19" s="387">
        <f t="shared" si="12"/>
        <v>0.95200000000000007</v>
      </c>
      <c r="I19">
        <f t="shared" si="12"/>
        <v>99.1</v>
      </c>
      <c r="J19">
        <f t="shared" si="12"/>
        <v>3.4</v>
      </c>
      <c r="K19" s="168" t="e">
        <f t="shared" ref="K19:K27" ca="1" si="13">L19*kWh_na_GJ/$C19</f>
        <v>#DIV/0!</v>
      </c>
      <c r="L19" s="168" t="e">
        <f ca="1">M19/$D19</f>
        <v>#DIV/0!</v>
      </c>
      <c r="M19" s="168">
        <f ca="1">Bilance!$C$24</f>
        <v>0</v>
      </c>
      <c r="N19" s="168" t="e">
        <f t="shared" ref="N19:N27" ca="1" si="14">L19*E19</f>
        <v>#DIV/0!</v>
      </c>
      <c r="O19" s="168">
        <f t="shared" ref="O19:O26" ca="1" si="15">IFERROR(L19*kWh_na_GJ*$I19,0)</f>
        <v>0</v>
      </c>
      <c r="P19" s="392" t="e">
        <f t="shared" ref="P19:P27" ca="1" si="16">K19*$F19</f>
        <v>#DIV/0!</v>
      </c>
      <c r="Q19" s="392" t="e">
        <f ca="1">P19*$G19</f>
        <v>#DIV/0!</v>
      </c>
      <c r="R19" s="392" t="e">
        <f ca="1">Q19*$H19</f>
        <v>#DIV/0!</v>
      </c>
      <c r="S19" s="168" t="e">
        <f t="shared" ref="S19:S27" ca="1" si="17">J19*K19</f>
        <v>#DIV/0!</v>
      </c>
    </row>
    <row r="20" spans="1:19">
      <c r="A20" t="str">
        <f t="shared" ref="A20:B27" si="18">A5</f>
        <v>černé uhlí</v>
      </c>
      <c r="B20" t="b">
        <f t="shared" si="18"/>
        <v>0</v>
      </c>
      <c r="C20">
        <f t="shared" ref="C20:J20" si="19">C5</f>
        <v>3.1E-2</v>
      </c>
      <c r="D20" s="167">
        <f t="shared" si="11"/>
        <v>0</v>
      </c>
      <c r="E20">
        <f t="shared" si="19"/>
        <v>1</v>
      </c>
      <c r="F20">
        <f t="shared" si="19"/>
        <v>1.23E-3</v>
      </c>
      <c r="G20" s="387">
        <f t="shared" si="19"/>
        <v>0.998</v>
      </c>
      <c r="H20" s="387">
        <f t="shared" si="19"/>
        <v>0.98099999999999998</v>
      </c>
      <c r="I20">
        <f t="shared" si="19"/>
        <v>92.4</v>
      </c>
      <c r="J20">
        <f t="shared" si="19"/>
        <v>5.5</v>
      </c>
      <c r="K20" s="168" t="e">
        <f t="shared" ca="1" si="13"/>
        <v>#DIV/0!</v>
      </c>
      <c r="L20" s="168" t="e">
        <f t="shared" ref="L20:L27" ca="1" si="20">M20/$D20</f>
        <v>#DIV/0!</v>
      </c>
      <c r="M20" s="168">
        <f ca="1">Bilance!$C$24</f>
        <v>0</v>
      </c>
      <c r="N20" s="168" t="e">
        <f t="shared" ca="1" si="14"/>
        <v>#DIV/0!</v>
      </c>
      <c r="O20" s="168">
        <f t="shared" ca="1" si="15"/>
        <v>0</v>
      </c>
      <c r="P20" s="392" t="e">
        <f t="shared" ca="1" si="16"/>
        <v>#DIV/0!</v>
      </c>
      <c r="Q20" s="392" t="e">
        <f t="shared" ref="Q20:Q27" ca="1" si="21">P20*$G20</f>
        <v>#DIV/0!</v>
      </c>
      <c r="R20" s="392" t="e">
        <f t="shared" ref="R20:R27" ca="1" si="22">Q20*$H20</f>
        <v>#DIV/0!</v>
      </c>
      <c r="S20" s="168" t="e">
        <f t="shared" ca="1" si="17"/>
        <v>#DIV/0!</v>
      </c>
    </row>
    <row r="21" spans="1:19">
      <c r="A21" t="str">
        <f t="shared" si="18"/>
        <v>palivové dřevo</v>
      </c>
      <c r="B21" t="b">
        <f t="shared" si="18"/>
        <v>0</v>
      </c>
      <c r="C21">
        <f t="shared" ref="C21:J21" si="23">C6</f>
        <v>1.4E-2</v>
      </c>
      <c r="D21" s="167">
        <f t="shared" si="11"/>
        <v>0</v>
      </c>
      <c r="E21">
        <f t="shared" si="23"/>
        <v>1</v>
      </c>
      <c r="F21">
        <f t="shared" si="23"/>
        <v>2.1199999999999999E-3</v>
      </c>
      <c r="G21" s="387">
        <f t="shared" si="23"/>
        <v>0.998</v>
      </c>
      <c r="H21" s="387">
        <f t="shared" si="23"/>
        <v>0.99099999999999999</v>
      </c>
      <c r="I21">
        <f t="shared" si="23"/>
        <v>0</v>
      </c>
      <c r="J21">
        <f t="shared" si="23"/>
        <v>3.5</v>
      </c>
      <c r="K21" s="168" t="e">
        <f t="shared" ca="1" si="13"/>
        <v>#DIV/0!</v>
      </c>
      <c r="L21" s="168" t="e">
        <f t="shared" ca="1" si="20"/>
        <v>#DIV/0!</v>
      </c>
      <c r="M21" s="168">
        <f ca="1">Bilance!$C$24</f>
        <v>0</v>
      </c>
      <c r="N21" s="168" t="e">
        <f t="shared" ca="1" si="14"/>
        <v>#DIV/0!</v>
      </c>
      <c r="O21" s="168">
        <f t="shared" ca="1" si="15"/>
        <v>0</v>
      </c>
      <c r="P21" s="392" t="e">
        <f t="shared" ca="1" si="16"/>
        <v>#DIV/0!</v>
      </c>
      <c r="Q21" s="392" t="e">
        <f t="shared" ca="1" si="21"/>
        <v>#DIV/0!</v>
      </c>
      <c r="R21" s="392" t="e">
        <f t="shared" ca="1" si="22"/>
        <v>#DIV/0!</v>
      </c>
      <c r="S21" s="168" t="e">
        <f t="shared" ca="1" si="17"/>
        <v>#DIV/0!</v>
      </c>
    </row>
    <row r="22" spans="1:19">
      <c r="A22" t="str">
        <f t="shared" si="18"/>
        <v>pelety</v>
      </c>
      <c r="B22" t="b">
        <f t="shared" si="18"/>
        <v>0</v>
      </c>
      <c r="C22">
        <f t="shared" ref="C22:J22" si="24">C7</f>
        <v>1.7000000000000001E-2</v>
      </c>
      <c r="D22" s="167">
        <f t="shared" si="11"/>
        <v>0</v>
      </c>
      <c r="E22">
        <f t="shared" si="24"/>
        <v>1</v>
      </c>
      <c r="F22">
        <f t="shared" si="24"/>
        <v>2.6400000000000002E-4</v>
      </c>
      <c r="G22" s="387">
        <f t="shared" si="24"/>
        <v>0.998</v>
      </c>
      <c r="H22" s="387">
        <f t="shared" si="24"/>
        <v>0.98799999999999999</v>
      </c>
      <c r="I22">
        <f t="shared" si="24"/>
        <v>0</v>
      </c>
      <c r="J22">
        <f t="shared" si="24"/>
        <v>5.4</v>
      </c>
      <c r="K22" s="168" t="e">
        <f t="shared" ca="1" si="13"/>
        <v>#DIV/0!</v>
      </c>
      <c r="L22" s="168" t="e">
        <f t="shared" ca="1" si="20"/>
        <v>#DIV/0!</v>
      </c>
      <c r="M22" s="168">
        <f ca="1">Bilance!$C$24</f>
        <v>0</v>
      </c>
      <c r="N22" s="168" t="e">
        <f t="shared" ca="1" si="14"/>
        <v>#DIV/0!</v>
      </c>
      <c r="O22" s="168">
        <f t="shared" ca="1" si="15"/>
        <v>0</v>
      </c>
      <c r="P22" s="392" t="e">
        <f t="shared" ca="1" si="16"/>
        <v>#DIV/0!</v>
      </c>
      <c r="Q22" s="392" t="e">
        <f t="shared" ca="1" si="21"/>
        <v>#DIV/0!</v>
      </c>
      <c r="R22" s="392" t="e">
        <f t="shared" ca="1" si="22"/>
        <v>#DIV/0!</v>
      </c>
      <c r="S22" s="168" t="e">
        <f t="shared" ca="1" si="17"/>
        <v>#DIV/0!</v>
      </c>
    </row>
    <row r="23" spans="1:19">
      <c r="A23" t="str">
        <f t="shared" si="18"/>
        <v>zemní plyn</v>
      </c>
      <c r="B23" t="b">
        <f t="shared" si="18"/>
        <v>0</v>
      </c>
      <c r="C23">
        <f t="shared" ref="C23:J23" si="25">C8</f>
        <v>3.4000000000000002E-2</v>
      </c>
      <c r="D23" s="167">
        <f t="shared" si="11"/>
        <v>0</v>
      </c>
      <c r="E23">
        <f t="shared" si="25"/>
        <v>1</v>
      </c>
      <c r="F23">
        <f t="shared" si="25"/>
        <v>6.9E-6</v>
      </c>
      <c r="G23" s="387">
        <f t="shared" si="25"/>
        <v>1</v>
      </c>
      <c r="H23" s="387">
        <f t="shared" si="25"/>
        <v>1</v>
      </c>
      <c r="I23">
        <f t="shared" si="25"/>
        <v>55.4</v>
      </c>
      <c r="J23">
        <f t="shared" si="25"/>
        <v>10</v>
      </c>
      <c r="K23" s="168" t="e">
        <f t="shared" ca="1" si="13"/>
        <v>#DIV/0!</v>
      </c>
      <c r="L23" s="168" t="e">
        <f t="shared" ca="1" si="20"/>
        <v>#DIV/0!</v>
      </c>
      <c r="M23" s="168">
        <f ca="1">Bilance!$C$24</f>
        <v>0</v>
      </c>
      <c r="N23" s="168" t="e">
        <f t="shared" ca="1" si="14"/>
        <v>#DIV/0!</v>
      </c>
      <c r="O23" s="168">
        <f t="shared" ca="1" si="15"/>
        <v>0</v>
      </c>
      <c r="P23" s="392" t="e">
        <f t="shared" ca="1" si="16"/>
        <v>#DIV/0!</v>
      </c>
      <c r="Q23" s="392" t="e">
        <f t="shared" ca="1" si="21"/>
        <v>#DIV/0!</v>
      </c>
      <c r="R23" s="392" t="e">
        <f t="shared" ca="1" si="22"/>
        <v>#DIV/0!</v>
      </c>
      <c r="S23" s="168" t="e">
        <f t="shared" ca="1" si="17"/>
        <v>#DIV/0!</v>
      </c>
    </row>
    <row r="24" spans="1:19">
      <c r="A24" t="str">
        <f t="shared" si="18"/>
        <v>elektřina</v>
      </c>
      <c r="B24" t="b">
        <f t="shared" si="18"/>
        <v>0</v>
      </c>
      <c r="C24">
        <f t="shared" ref="C24:J24" si="26">C9</f>
        <v>3.5999999999999999E-3</v>
      </c>
      <c r="D24" s="167">
        <f t="shared" si="11"/>
        <v>0</v>
      </c>
      <c r="E24">
        <f t="shared" si="26"/>
        <v>2.2999999999999998</v>
      </c>
      <c r="F24">
        <f t="shared" si="26"/>
        <v>3.68E-5</v>
      </c>
      <c r="G24" s="387">
        <f t="shared" si="26"/>
        <v>0.85</v>
      </c>
      <c r="H24" s="387">
        <f t="shared" si="26"/>
        <v>0.65</v>
      </c>
      <c r="I24">
        <f t="shared" si="26"/>
        <v>239</v>
      </c>
      <c r="J24">
        <f t="shared" si="26"/>
        <v>2.67</v>
      </c>
      <c r="K24" s="168" t="e">
        <f t="shared" ca="1" si="13"/>
        <v>#DIV/0!</v>
      </c>
      <c r="L24" s="168" t="e">
        <f t="shared" ca="1" si="20"/>
        <v>#DIV/0!</v>
      </c>
      <c r="M24" s="168">
        <f ca="1">Bilance!$C$24</f>
        <v>0</v>
      </c>
      <c r="N24" s="168" t="e">
        <f t="shared" ca="1" si="14"/>
        <v>#DIV/0!</v>
      </c>
      <c r="O24" s="168">
        <f t="shared" ca="1" si="15"/>
        <v>0</v>
      </c>
      <c r="P24" s="392" t="e">
        <f t="shared" ca="1" si="16"/>
        <v>#DIV/0!</v>
      </c>
      <c r="Q24" s="392" t="e">
        <f t="shared" ca="1" si="21"/>
        <v>#DIV/0!</v>
      </c>
      <c r="R24" s="392" t="e">
        <f t="shared" ca="1" si="22"/>
        <v>#DIV/0!</v>
      </c>
      <c r="S24" s="168" t="e">
        <f t="shared" ca="1" si="17"/>
        <v>#DIV/0!</v>
      </c>
    </row>
    <row r="25" spans="1:19">
      <c r="A25" t="str">
        <f t="shared" si="18"/>
        <v>topný olej</v>
      </c>
      <c r="B25" t="b">
        <f t="shared" si="18"/>
        <v>0</v>
      </c>
      <c r="C25">
        <f t="shared" ref="C25:J25" si="27">C10</f>
        <v>3.4645000000000002E-2</v>
      </c>
      <c r="D25" s="167">
        <f t="shared" si="11"/>
        <v>0</v>
      </c>
      <c r="E25">
        <f t="shared" si="27"/>
        <v>1.2</v>
      </c>
      <c r="F25">
        <f t="shared" si="27"/>
        <v>5.8879999999999999E-5</v>
      </c>
      <c r="G25" s="387">
        <f t="shared" si="27"/>
        <v>0.93</v>
      </c>
      <c r="H25" s="387">
        <f t="shared" si="27"/>
        <v>0.67</v>
      </c>
      <c r="I25">
        <f t="shared" si="27"/>
        <v>73.3</v>
      </c>
      <c r="J25">
        <f t="shared" si="27"/>
        <v>29.83</v>
      </c>
      <c r="K25" s="168" t="e">
        <f t="shared" ca="1" si="13"/>
        <v>#DIV/0!</v>
      </c>
      <c r="L25" s="168" t="e">
        <f t="shared" ca="1" si="20"/>
        <v>#DIV/0!</v>
      </c>
      <c r="M25" s="168">
        <f ca="1">Bilance!$C$24</f>
        <v>0</v>
      </c>
      <c r="N25" s="168" t="e">
        <f t="shared" ca="1" si="14"/>
        <v>#DIV/0!</v>
      </c>
      <c r="O25" s="168">
        <f t="shared" ca="1" si="15"/>
        <v>0</v>
      </c>
      <c r="P25" s="392" t="e">
        <f t="shared" ca="1" si="16"/>
        <v>#DIV/0!</v>
      </c>
      <c r="Q25" s="392" t="e">
        <f t="shared" ca="1" si="21"/>
        <v>#DIV/0!</v>
      </c>
      <c r="R25" s="392" t="e">
        <f t="shared" ca="1" si="22"/>
        <v>#DIV/0!</v>
      </c>
      <c r="S25" s="168" t="e">
        <f t="shared" ca="1" si="17"/>
        <v>#DIV/0!</v>
      </c>
    </row>
    <row r="26" spans="1:19">
      <c r="A26" t="str">
        <f t="shared" si="18"/>
        <v>tepelné čerpadlo</v>
      </c>
      <c r="B26" t="b">
        <f t="shared" si="18"/>
        <v>0</v>
      </c>
      <c r="C26">
        <f t="shared" ref="C26:J26" si="28">C11</f>
        <v>3.5999999999999999E-3</v>
      </c>
      <c r="D26" s="167">
        <f t="shared" si="11"/>
        <v>0</v>
      </c>
      <c r="E26">
        <f t="shared" si="28"/>
        <v>2.2999999999999998</v>
      </c>
      <c r="F26">
        <f t="shared" si="28"/>
        <v>3.68E-5</v>
      </c>
      <c r="G26" s="387">
        <f t="shared" si="28"/>
        <v>0.85</v>
      </c>
      <c r="H26" s="387">
        <f t="shared" si="28"/>
        <v>0.65</v>
      </c>
      <c r="I26">
        <f t="shared" si="28"/>
        <v>239</v>
      </c>
      <c r="J26">
        <f t="shared" si="28"/>
        <v>2.67</v>
      </c>
      <c r="K26" s="168" t="e">
        <f t="shared" ca="1" si="13"/>
        <v>#DIV/0!</v>
      </c>
      <c r="L26" s="168" t="e">
        <f t="shared" ca="1" si="20"/>
        <v>#DIV/0!</v>
      </c>
      <c r="M26" s="168">
        <f ca="1">Bilance!$C$24</f>
        <v>0</v>
      </c>
      <c r="N26" s="168" t="e">
        <f t="shared" ca="1" si="14"/>
        <v>#DIV/0!</v>
      </c>
      <c r="O26" s="168">
        <f t="shared" ca="1" si="15"/>
        <v>0</v>
      </c>
      <c r="P26" s="392" t="e">
        <f t="shared" ca="1" si="16"/>
        <v>#DIV/0!</v>
      </c>
      <c r="Q26" s="392" t="e">
        <f t="shared" ca="1" si="21"/>
        <v>#DIV/0!</v>
      </c>
      <c r="R26" s="392" t="e">
        <f t="shared" ca="1" si="22"/>
        <v>#DIV/0!</v>
      </c>
      <c r="S26" s="168" t="e">
        <f t="shared" ca="1" si="17"/>
        <v>#DIV/0!</v>
      </c>
    </row>
    <row r="27" spans="1:19">
      <c r="A27" t="str">
        <f t="shared" si="18"/>
        <v>centrální zásobování teplem - energie</v>
      </c>
      <c r="B27" t="b">
        <f t="shared" si="18"/>
        <v>0</v>
      </c>
      <c r="C27">
        <f t="shared" ref="C27:J27" si="29">C12</f>
        <v>1</v>
      </c>
      <c r="D27" s="167">
        <f t="shared" si="11"/>
        <v>0</v>
      </c>
      <c r="E27">
        <f>IF(Typ_SZT=1,Primární!$E$2,IF(Typ_SZT=2,Primární!$E$3,0))</f>
        <v>0</v>
      </c>
      <c r="F27">
        <f t="shared" si="29"/>
        <v>0</v>
      </c>
      <c r="G27" s="387">
        <f t="shared" si="29"/>
        <v>0</v>
      </c>
      <c r="H27" s="387">
        <f t="shared" si="29"/>
        <v>0</v>
      </c>
      <c r="I27">
        <f t="shared" si="29"/>
        <v>0</v>
      </c>
      <c r="J27">
        <f t="shared" si="29"/>
        <v>400</v>
      </c>
      <c r="K27" s="168" t="e">
        <f t="shared" ca="1" si="13"/>
        <v>#DIV/0!</v>
      </c>
      <c r="L27" s="168" t="e">
        <f t="shared" ca="1" si="20"/>
        <v>#DIV/0!</v>
      </c>
      <c r="M27" s="168">
        <f ca="1">Bilance!$C$24</f>
        <v>0</v>
      </c>
      <c r="N27" s="168" t="e">
        <f t="shared" ca="1" si="14"/>
        <v>#DIV/0!</v>
      </c>
      <c r="O27" s="168">
        <f ca="1">IFERROR(L27*kWh_na_GJ*$I27*$E$27,0)</f>
        <v>0</v>
      </c>
      <c r="P27" s="392" t="e">
        <f t="shared" ca="1" si="16"/>
        <v>#DIV/0!</v>
      </c>
      <c r="Q27" s="392" t="e">
        <f t="shared" ca="1" si="21"/>
        <v>#DIV/0!</v>
      </c>
      <c r="R27" s="392" t="e">
        <f t="shared" ca="1" si="22"/>
        <v>#DIV/0!</v>
      </c>
      <c r="S27" s="168" t="e">
        <f t="shared" ca="1" si="17"/>
        <v>#DIV/0!</v>
      </c>
    </row>
    <row r="28" spans="1:19">
      <c r="A28" s="393">
        <f>IFERROR(INDEX(A$4:A$12,$B$13),0)</f>
        <v>0</v>
      </c>
      <c r="B28" s="393">
        <f>IFERROR(MATCH(TRUE,$B$19:$B$27,0),0)</f>
        <v>0</v>
      </c>
      <c r="C28" s="395">
        <f t="shared" ref="C28:J28" si="30">IFERROR(INDEX(C$19:C$27,$B$13),0)</f>
        <v>0</v>
      </c>
      <c r="D28" s="562">
        <f t="shared" si="30"/>
        <v>0</v>
      </c>
      <c r="E28" s="394">
        <f t="shared" si="30"/>
        <v>0</v>
      </c>
      <c r="F28" s="563">
        <f t="shared" si="30"/>
        <v>0</v>
      </c>
      <c r="G28" s="562">
        <f t="shared" si="30"/>
        <v>0</v>
      </c>
      <c r="H28" s="562">
        <f t="shared" si="30"/>
        <v>0</v>
      </c>
      <c r="I28" s="561">
        <f t="shared" si="30"/>
        <v>0</v>
      </c>
      <c r="J28" s="561">
        <f t="shared" si="30"/>
        <v>0</v>
      </c>
      <c r="K28" s="394">
        <f t="shared" ref="K28:S28" si="31">IFERROR(INDEX(K$19:K$27,$B$13),0)</f>
        <v>0</v>
      </c>
      <c r="L28" s="394">
        <f t="shared" si="31"/>
        <v>0</v>
      </c>
      <c r="M28" s="394">
        <f t="shared" si="31"/>
        <v>0</v>
      </c>
      <c r="N28" s="394">
        <f t="shared" si="31"/>
        <v>0</v>
      </c>
      <c r="O28" s="394">
        <f t="shared" si="31"/>
        <v>0</v>
      </c>
      <c r="P28" s="395">
        <f t="shared" si="31"/>
        <v>0</v>
      </c>
      <c r="Q28" s="395">
        <f t="shared" si="31"/>
        <v>0</v>
      </c>
      <c r="R28" s="395">
        <f t="shared" si="31"/>
        <v>0</v>
      </c>
      <c r="S28" s="394">
        <f t="shared" si="31"/>
        <v>0</v>
      </c>
    </row>
    <row r="31" spans="1:19" ht="60">
      <c r="A31" s="391" t="s">
        <v>845</v>
      </c>
      <c r="B31" s="391" t="s">
        <v>867</v>
      </c>
      <c r="C31" s="391" t="s">
        <v>848</v>
      </c>
      <c r="D31" s="391" t="s">
        <v>849</v>
      </c>
      <c r="E31" s="391" t="s">
        <v>850</v>
      </c>
      <c r="F31" s="391" t="s">
        <v>851</v>
      </c>
      <c r="G31" s="391" t="s">
        <v>852</v>
      </c>
      <c r="H31" s="391" t="s">
        <v>853</v>
      </c>
      <c r="I31" s="391" t="s">
        <v>854</v>
      </c>
      <c r="J31" s="391" t="s">
        <v>855</v>
      </c>
      <c r="K31" s="391" t="s">
        <v>856</v>
      </c>
      <c r="L31" s="391" t="s">
        <v>857</v>
      </c>
      <c r="M31" s="391" t="s">
        <v>858</v>
      </c>
      <c r="N31" s="391" t="s">
        <v>1027</v>
      </c>
      <c r="O31" s="391" t="s">
        <v>861</v>
      </c>
      <c r="P31" s="391" t="s">
        <v>862</v>
      </c>
      <c r="Q31" s="391" t="s">
        <v>863</v>
      </c>
      <c r="R31" s="391" t="s">
        <v>864</v>
      </c>
      <c r="S31" s="391" t="s">
        <v>865</v>
      </c>
    </row>
    <row r="32" spans="1:19">
      <c r="A32" s="393" t="s">
        <v>866</v>
      </c>
      <c r="B32" s="393"/>
      <c r="C32" s="393"/>
      <c r="D32" s="393"/>
      <c r="E32" s="393"/>
      <c r="F32" s="393"/>
      <c r="G32" s="393"/>
      <c r="H32" s="393"/>
      <c r="I32" s="393"/>
      <c r="J32" s="393"/>
      <c r="K32" s="394">
        <f>K13-K28</f>
        <v>0</v>
      </c>
      <c r="L32" s="394">
        <f>L13-L28</f>
        <v>0</v>
      </c>
      <c r="M32" s="394">
        <f>M13-M28</f>
        <v>0</v>
      </c>
      <c r="N32" s="394">
        <f t="shared" ref="N32:S32" si="32">N13-N28</f>
        <v>0</v>
      </c>
      <c r="O32" s="394">
        <f t="shared" si="32"/>
        <v>0</v>
      </c>
      <c r="P32" s="395">
        <f t="shared" si="32"/>
        <v>0</v>
      </c>
      <c r="Q32" s="395">
        <f t="shared" si="32"/>
        <v>0</v>
      </c>
      <c r="R32" s="395">
        <f t="shared" si="32"/>
        <v>0</v>
      </c>
      <c r="S32" s="394">
        <f t="shared" si="32"/>
        <v>0</v>
      </c>
    </row>
  </sheetData>
  <sheetProtection algorithmName="SHA-512" hashValue="0YIBw7g6qtlcWmMC7Q8aRjai+khOJWJ4usU4Aip0x7kJ5AAj7I5WToaQpUa4VQV61Lxeh49qDdoCI/+9P4j+jw==" saltValue="DMuvqdaHMK9aX/t33C0oKw==" spinCount="100000" sheet="1" objects="1" scenarios="1"/>
  <pageMargins left="0.7" right="0.7" top="0.78740157499999996" bottom="0.78740157499999996" header="0.3" footer="0.3"/>
  <legacy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D4095-3C86-4A3C-AE5F-945DDAEB8455}">
  <sheetPr codeName="List23"/>
  <dimension ref="A1:V47"/>
  <sheetViews>
    <sheetView workbookViewId="0">
      <selection activeCell="N22" sqref="N22"/>
    </sheetView>
  </sheetViews>
  <sheetFormatPr defaultRowHeight="15"/>
  <cols>
    <col min="1" max="1" width="38.85546875" bestFit="1" customWidth="1"/>
    <col min="2" max="2" width="12.28515625" bestFit="1" customWidth="1"/>
    <col min="3" max="4" width="12.28515625" customWidth="1"/>
    <col min="5" max="5" width="8.85546875" bestFit="1" customWidth="1"/>
    <col min="6" max="6" width="8.5703125" bestFit="1" customWidth="1"/>
    <col min="7" max="7" width="11" bestFit="1" customWidth="1"/>
    <col min="11" max="11" width="11.140625" bestFit="1" customWidth="1"/>
    <col min="12" max="13" width="10.140625" customWidth="1"/>
    <col min="14" max="14" width="18.5703125" bestFit="1" customWidth="1"/>
    <col min="15" max="15" width="11" customWidth="1"/>
    <col min="16" max="16" width="13.85546875" customWidth="1"/>
    <col min="17" max="17" width="10.85546875" bestFit="1" customWidth="1"/>
    <col min="18" max="18" width="10.85546875" customWidth="1"/>
    <col min="19" max="19" width="10.28515625" customWidth="1"/>
    <col min="20" max="20" width="11.85546875" customWidth="1"/>
    <col min="21" max="21" width="12.28515625" bestFit="1" customWidth="1"/>
  </cols>
  <sheetData>
    <row r="1" spans="1:22" ht="21">
      <c r="A1" s="390" t="s">
        <v>868</v>
      </c>
      <c r="B1" s="390"/>
      <c r="C1" s="390"/>
      <c r="D1" s="390"/>
    </row>
    <row r="3" spans="1:22" ht="60">
      <c r="A3" s="391" t="s">
        <v>845</v>
      </c>
      <c r="B3" s="391" t="s">
        <v>867</v>
      </c>
      <c r="C3" s="391" t="s">
        <v>847</v>
      </c>
      <c r="D3" s="391" t="s">
        <v>848</v>
      </c>
      <c r="E3" s="391" t="s">
        <v>849</v>
      </c>
      <c r="F3" s="391" t="s">
        <v>850</v>
      </c>
      <c r="G3" s="391" t="s">
        <v>851</v>
      </c>
      <c r="H3" s="391" t="s">
        <v>852</v>
      </c>
      <c r="I3" s="391" t="s">
        <v>853</v>
      </c>
      <c r="J3" s="391" t="s">
        <v>854</v>
      </c>
      <c r="K3" s="391" t="s">
        <v>855</v>
      </c>
      <c r="L3" s="391" t="s">
        <v>856</v>
      </c>
      <c r="M3" s="391" t="s">
        <v>857</v>
      </c>
      <c r="N3" s="391" t="s">
        <v>858</v>
      </c>
      <c r="O3" s="391" t="s">
        <v>1027</v>
      </c>
      <c r="P3" s="391" t="s">
        <v>859</v>
      </c>
      <c r="Q3" s="391" t="s">
        <v>860</v>
      </c>
      <c r="R3" s="391" t="s">
        <v>861</v>
      </c>
      <c r="S3" s="391" t="s">
        <v>862</v>
      </c>
      <c r="T3" s="391" t="s">
        <v>863</v>
      </c>
      <c r="U3" s="391" t="s">
        <v>864</v>
      </c>
      <c r="V3" s="391" t="s">
        <v>865</v>
      </c>
    </row>
    <row r="4" spans="1:22">
      <c r="A4" t="str">
        <f>ParametryZdroje!M10</f>
        <v>hnědé uhlí</v>
      </c>
      <c r="B4" t="b">
        <f>OR(AND(ZdrojIdxBudova=1,Zateplení!$J$14=A19,NOT(je_zdroj)),AND(ZdrojIdxOld=1,Zdroj!$I$6=A4))</f>
        <v>0</v>
      </c>
      <c r="C4">
        <f>Zdroj!$E$13</f>
        <v>0</v>
      </c>
      <c r="D4">
        <f>Nositele!E2</f>
        <v>1.7999999999999999E-2</v>
      </c>
      <c r="E4" s="167">
        <f t="shared" ref="E4:E12" si="0">Účinnost_stará</f>
        <v>0</v>
      </c>
      <c r="F4">
        <f>VLOOKUP($A4,Primární!$A$2:$B$14,2,FALSE)</f>
        <v>1</v>
      </c>
      <c r="G4" t="e">
        <f>VLOOKUP(TStaréKotle[[#Headers],[kotel na tuhá paliva]] &amp; "-" &amp; Zdroj!$I$5 &amp; "-" &amp; $A4,TKotleTP[],4,FALSE)</f>
        <v>#N/A</v>
      </c>
      <c r="H4" s="387" t="e">
        <f>VLOOKUP(TStaréKotle[[#Headers],[kotel na tuhá paliva]] &amp; "-" &amp; Zdroj!$I$5 &amp; "-" &amp; $A4,TKotleTP[],6,FALSE)</f>
        <v>#N/A</v>
      </c>
      <c r="I4" s="387" t="e">
        <f>VLOOKUP(TStaréKotle[[#Headers],[kotel na tuhá paliva]] &amp; "-" &amp; Zdroj!$I$5 &amp; "-" &amp; $A4,TKotleTP[],7,FALSE)</f>
        <v>#N/A</v>
      </c>
      <c r="J4">
        <f>Nositele!G2</f>
        <v>99.1</v>
      </c>
      <c r="K4">
        <f>Nositele!H2</f>
        <v>3.4</v>
      </c>
      <c r="L4" s="168" t="e">
        <f t="shared" ref="L4:L12" ca="1" si="1">$M4*kWh_na_GJ/D4</f>
        <v>#DIV/0!</v>
      </c>
      <c r="M4" s="168" t="e">
        <f ca="1">N4/E4</f>
        <v>#DIV/0!</v>
      </c>
      <c r="N4" s="168">
        <f ca="1">Bilance!$B$24</f>
        <v>0</v>
      </c>
      <c r="O4" s="168" t="e">
        <f t="shared" ref="O4:O12" ca="1" si="2">M4*F4</f>
        <v>#DIV/0!</v>
      </c>
      <c r="P4" s="168">
        <f ca="1">IFERROR(N4/$C4,0)</f>
        <v>0</v>
      </c>
      <c r="Q4" t="b">
        <f ca="1">AND(P4&gt;=1000,P4&lt;=7000)</f>
        <v>0</v>
      </c>
      <c r="R4" s="168">
        <f t="shared" ref="R4:R11" ca="1" si="3">IFERROR(M4*kWh_na_GJ*$J4,0)</f>
        <v>0</v>
      </c>
      <c r="S4" s="392" t="e">
        <f ca="1">L4*$G4</f>
        <v>#DIV/0!</v>
      </c>
      <c r="T4" s="392" t="e">
        <f ca="1">S4*$H4</f>
        <v>#DIV/0!</v>
      </c>
      <c r="U4" s="392" t="e">
        <f ca="1">T4*$I4</f>
        <v>#DIV/0!</v>
      </c>
      <c r="V4" s="168" t="e">
        <f ca="1">K4*L4</f>
        <v>#DIV/0!</v>
      </c>
    </row>
    <row r="5" spans="1:22">
      <c r="A5" t="str">
        <f>ParametryZdroje!M8</f>
        <v>černé uhlí</v>
      </c>
      <c r="B5" t="b">
        <f>OR(AND(ZdrojIdxBudova=1,Zateplení!$J$14=A20,NOT(je_zdroj)),AND(ZdrojIdxOld=1,Zdroj!$I$6=A5))</f>
        <v>0</v>
      </c>
      <c r="C5">
        <f>Zdroj!$E$13</f>
        <v>0</v>
      </c>
      <c r="D5">
        <f>Nositele!E3</f>
        <v>3.1E-2</v>
      </c>
      <c r="E5" s="167">
        <f t="shared" si="0"/>
        <v>0</v>
      </c>
      <c r="F5">
        <f>VLOOKUP($A5,Primární!$A$2:$B$14,2,FALSE)</f>
        <v>1</v>
      </c>
      <c r="G5" t="e">
        <f>VLOOKUP(TStaréKotle[[#Headers],[kotel na tuhá paliva]] &amp; "-" &amp; Zdroj!$I$5 &amp; "-" &amp; $A5,TKotleTP[],4,FALSE)</f>
        <v>#N/A</v>
      </c>
      <c r="H5" s="387" t="e">
        <f>VLOOKUP(TStaréKotle[[#Headers],[kotel na tuhá paliva]] &amp; "-" &amp; Zdroj!$I$5 &amp; "-" &amp; $A5,TKotleTP[],6,FALSE)</f>
        <v>#N/A</v>
      </c>
      <c r="I5" s="387" t="e">
        <f>VLOOKUP(TStaréKotle[[#Headers],[kotel na tuhá paliva]] &amp; "-" &amp; Zdroj!$I$5 &amp; "-" &amp; $A5,TKotleTP[],7,FALSE)</f>
        <v>#N/A</v>
      </c>
      <c r="J5">
        <f>Nositele!G3</f>
        <v>92.4</v>
      </c>
      <c r="K5">
        <f>Nositele!H3</f>
        <v>5.5</v>
      </c>
      <c r="L5" s="168" t="e">
        <f t="shared" ca="1" si="1"/>
        <v>#DIV/0!</v>
      </c>
      <c r="M5" s="168" t="e">
        <f t="shared" ref="M5:M12" ca="1" si="4">N5/E5</f>
        <v>#DIV/0!</v>
      </c>
      <c r="N5" s="168">
        <f ca="1">Bilance!$B$24</f>
        <v>0</v>
      </c>
      <c r="O5" s="168" t="e">
        <f t="shared" ca="1" si="2"/>
        <v>#DIV/0!</v>
      </c>
      <c r="P5" s="168">
        <f t="shared" ref="P5:P12" ca="1" si="5">IFERROR(N5/$C5,0)</f>
        <v>0</v>
      </c>
      <c r="Q5" t="b">
        <f t="shared" ref="Q5:Q11" ca="1" si="6">AND(P5&gt;=1000,P5&lt;=7000)</f>
        <v>0</v>
      </c>
      <c r="R5" s="168">
        <f t="shared" ca="1" si="3"/>
        <v>0</v>
      </c>
      <c r="S5" s="392" t="e">
        <f t="shared" ref="S5:S12" ca="1" si="7">L5*$G5</f>
        <v>#DIV/0!</v>
      </c>
      <c r="T5" s="392" t="e">
        <f t="shared" ref="T5:T12" ca="1" si="8">S5*$H5</f>
        <v>#DIV/0!</v>
      </c>
      <c r="U5" s="392" t="e">
        <f t="shared" ref="U5:U12" ca="1" si="9">T5*$I5</f>
        <v>#DIV/0!</v>
      </c>
      <c r="V5" s="168" t="e">
        <f t="shared" ref="V5:V12" ca="1" si="10">K5*L5</f>
        <v>#DIV/0!</v>
      </c>
    </row>
    <row r="6" spans="1:22">
      <c r="A6" t="str">
        <f>ParametryZdroje!M11</f>
        <v>palivové dřevo</v>
      </c>
      <c r="B6" t="b">
        <f>OR(AND(ZdrojIdxBudova=1,Zateplení!$J$14=A21,NOT(je_zdroj)),AND(ZdrojIdxOld=1,Zdroj!$I$6=A6))</f>
        <v>0</v>
      </c>
      <c r="C6">
        <f>Zdroj!$E$13</f>
        <v>0</v>
      </c>
      <c r="D6">
        <f>Nositele!E4</f>
        <v>1.4E-2</v>
      </c>
      <c r="E6" s="167">
        <f t="shared" si="0"/>
        <v>0</v>
      </c>
      <c r="F6">
        <f>VLOOKUP($A6,Primární!$A$2:$B$14,2,FALSE)</f>
        <v>1</v>
      </c>
      <c r="G6" t="e">
        <f>VLOOKUP(TStaréKotle[[#Headers],[kotel na tuhá paliva]] &amp; "-" &amp; Zdroj!$I$5 &amp; "-" &amp; $A6,TKotleTP[],4,FALSE)</f>
        <v>#N/A</v>
      </c>
      <c r="H6" s="387" t="e">
        <f>VLOOKUP(TStaréKotle[[#Headers],[kotel na tuhá paliva]] &amp; "-" &amp; Zdroj!$I$5 &amp; "-" &amp; $A6,TKotleTP[],6,FALSE)</f>
        <v>#N/A</v>
      </c>
      <c r="I6" s="387" t="e">
        <f>VLOOKUP(TStaréKotle[[#Headers],[kotel na tuhá paliva]] &amp; "-" &amp; Zdroj!$I$5 &amp; "-" &amp; $A6,TKotleTP[],7,FALSE)</f>
        <v>#N/A</v>
      </c>
      <c r="J6">
        <f>Nositele!G4</f>
        <v>0</v>
      </c>
      <c r="K6">
        <f>Nositele!H4</f>
        <v>3.5</v>
      </c>
      <c r="L6" s="168" t="e">
        <f t="shared" ca="1" si="1"/>
        <v>#DIV/0!</v>
      </c>
      <c r="M6" s="168" t="e">
        <f t="shared" ca="1" si="4"/>
        <v>#DIV/0!</v>
      </c>
      <c r="N6" s="168">
        <f ca="1">Bilance!$B$24</f>
        <v>0</v>
      </c>
      <c r="O6" s="168" t="e">
        <f t="shared" ca="1" si="2"/>
        <v>#DIV/0!</v>
      </c>
      <c r="P6" s="168">
        <f t="shared" ca="1" si="5"/>
        <v>0</v>
      </c>
      <c r="Q6" t="b">
        <f t="shared" ca="1" si="6"/>
        <v>0</v>
      </c>
      <c r="R6" s="168">
        <f t="shared" ca="1" si="3"/>
        <v>0</v>
      </c>
      <c r="S6" s="392" t="e">
        <f t="shared" ca="1" si="7"/>
        <v>#DIV/0!</v>
      </c>
      <c r="T6" s="392" t="e">
        <f t="shared" ca="1" si="8"/>
        <v>#DIV/0!</v>
      </c>
      <c r="U6" s="392" t="e">
        <f t="shared" ca="1" si="9"/>
        <v>#DIV/0!</v>
      </c>
      <c r="V6" s="168" t="e">
        <f t="shared" ca="1" si="10"/>
        <v>#DIV/0!</v>
      </c>
    </row>
    <row r="7" spans="1:22">
      <c r="A7" t="str">
        <f>ParametryZdroje!M12</f>
        <v>pelety</v>
      </c>
      <c r="B7" t="b">
        <f>OR(AND(ZdrojIdxBudova=1,Zateplení!$J$14=A22,NOT(je_zdroj)),AND(ZdrojIdxOld=1,Zdroj!$I$6=A7))</f>
        <v>0</v>
      </c>
      <c r="C7">
        <f>Zdroj!$E$13</f>
        <v>0</v>
      </c>
      <c r="D7">
        <f>Nositele!E5</f>
        <v>1.7000000000000001E-2</v>
      </c>
      <c r="E7" s="167">
        <f t="shared" si="0"/>
        <v>0</v>
      </c>
      <c r="F7">
        <f>VLOOKUP($A7,Primární!$A$2:$B$14,2,FALSE)</f>
        <v>1</v>
      </c>
      <c r="G7" t="e">
        <f>VLOOKUP(TStaréKotle[[#Headers],[kotel na tuhá paliva]] &amp; "-" &amp; Zdroj!$I$5 &amp; "-" &amp; $A7,TKotleTP[],4,FALSE)</f>
        <v>#N/A</v>
      </c>
      <c r="H7" s="387" t="e">
        <f>VLOOKUP(TStaréKotle[[#Headers],[kotel na tuhá paliva]] &amp; "-" &amp; Zdroj!$I$5 &amp; "-" &amp; $A7,TKotleTP[],6,FALSE)</f>
        <v>#N/A</v>
      </c>
      <c r="I7" s="387" t="e">
        <f>VLOOKUP(TStaréKotle[[#Headers],[kotel na tuhá paliva]] &amp; "-" &amp; Zdroj!$I$5 &amp; "-" &amp; $A7,TKotleTP[],7,FALSE)</f>
        <v>#N/A</v>
      </c>
      <c r="J7">
        <f>Nositele!G5</f>
        <v>0</v>
      </c>
      <c r="K7">
        <f>Nositele!H5</f>
        <v>5.4</v>
      </c>
      <c r="L7" s="168" t="e">
        <f t="shared" ca="1" si="1"/>
        <v>#DIV/0!</v>
      </c>
      <c r="M7" s="168" t="e">
        <f t="shared" ca="1" si="4"/>
        <v>#DIV/0!</v>
      </c>
      <c r="N7" s="168">
        <f ca="1">Bilance!$B$24</f>
        <v>0</v>
      </c>
      <c r="O7" s="168" t="e">
        <f t="shared" ca="1" si="2"/>
        <v>#DIV/0!</v>
      </c>
      <c r="P7" s="168">
        <f t="shared" ca="1" si="5"/>
        <v>0</v>
      </c>
      <c r="Q7" t="b">
        <f t="shared" ca="1" si="6"/>
        <v>0</v>
      </c>
      <c r="R7" s="168">
        <f t="shared" ca="1" si="3"/>
        <v>0</v>
      </c>
      <c r="S7" s="392" t="e">
        <f t="shared" ca="1" si="7"/>
        <v>#DIV/0!</v>
      </c>
      <c r="T7" s="392" t="e">
        <f t="shared" ca="1" si="8"/>
        <v>#DIV/0!</v>
      </c>
      <c r="U7" s="392" t="e">
        <f t="shared" ca="1" si="9"/>
        <v>#DIV/0!</v>
      </c>
      <c r="V7" s="168" t="e">
        <f t="shared" ca="1" si="10"/>
        <v>#DIV/0!</v>
      </c>
    </row>
    <row r="8" spans="1:22">
      <c r="A8" t="str">
        <f>ParametryZdroje!M14</f>
        <v>zemní plyn</v>
      </c>
      <c r="B8" t="b">
        <f>OR(AND(ZdrojIdxBudova=2,NOT(je_zdroj)),ZdrojIdxOld=2)</f>
        <v>0</v>
      </c>
      <c r="C8">
        <f>Zdroj!$E$13</f>
        <v>0</v>
      </c>
      <c r="D8">
        <f>Nositele!E6</f>
        <v>3.4000000000000002E-2</v>
      </c>
      <c r="E8" s="167">
        <f t="shared" si="0"/>
        <v>0</v>
      </c>
      <c r="F8">
        <f>VLOOKUP($A8,Primární!$A$2:$B$14,2,FALSE)</f>
        <v>1</v>
      </c>
      <c r="G8">
        <f>Nositele!M6</f>
        <v>6.9E-6</v>
      </c>
      <c r="H8" s="387">
        <f>Nositele!O6</f>
        <v>1</v>
      </c>
      <c r="I8" s="387">
        <f>Nositele!P6</f>
        <v>1</v>
      </c>
      <c r="J8">
        <f>Nositele!G6</f>
        <v>55.4</v>
      </c>
      <c r="K8">
        <f>Nositele!H6</f>
        <v>10</v>
      </c>
      <c r="L8" s="168" t="e">
        <f t="shared" ca="1" si="1"/>
        <v>#DIV/0!</v>
      </c>
      <c r="M8" s="168" t="e">
        <f t="shared" ca="1" si="4"/>
        <v>#DIV/0!</v>
      </c>
      <c r="N8" s="168">
        <f ca="1">Bilance!$B$24</f>
        <v>0</v>
      </c>
      <c r="O8" s="168" t="e">
        <f t="shared" ca="1" si="2"/>
        <v>#DIV/0!</v>
      </c>
      <c r="P8" s="168">
        <f t="shared" ca="1" si="5"/>
        <v>0</v>
      </c>
      <c r="Q8" t="b">
        <f t="shared" ca="1" si="6"/>
        <v>0</v>
      </c>
      <c r="R8" s="168">
        <f t="shared" ca="1" si="3"/>
        <v>0</v>
      </c>
      <c r="S8" s="392" t="e">
        <f t="shared" ca="1" si="7"/>
        <v>#DIV/0!</v>
      </c>
      <c r="T8" s="392" t="e">
        <f t="shared" ca="1" si="8"/>
        <v>#DIV/0!</v>
      </c>
      <c r="U8" s="392" t="e">
        <f t="shared" ca="1" si="9"/>
        <v>#DIV/0!</v>
      </c>
      <c r="V8" s="168" t="e">
        <f t="shared" ca="1" si="10"/>
        <v>#DIV/0!</v>
      </c>
    </row>
    <row r="9" spans="1:22">
      <c r="A9" t="str">
        <f>TStarýKotelHelp[[#This Row],[Nositel]]</f>
        <v>elektřina</v>
      </c>
      <c r="B9" t="b">
        <f>OR(AND(ZdrojIdxBudova=3,NOT(je_zdroj)),ZdrojIdxOld=3)</f>
        <v>0</v>
      </c>
      <c r="C9">
        <f>Zdroj!$E$13</f>
        <v>0</v>
      </c>
      <c r="D9">
        <f>Nositele!E7</f>
        <v>3.5999999999999999E-3</v>
      </c>
      <c r="E9" s="167">
        <f t="shared" si="0"/>
        <v>0</v>
      </c>
      <c r="F9">
        <f>VLOOKUP($A9,Primární!$A$2:$B$14,2,FALSE)</f>
        <v>2.2999999999999998</v>
      </c>
      <c r="G9">
        <f>Nositele!M7</f>
        <v>3.68E-5</v>
      </c>
      <c r="H9" s="387">
        <f>Nositele!O7</f>
        <v>0.85</v>
      </c>
      <c r="I9" s="387">
        <f>Nositele!P7</f>
        <v>0.65</v>
      </c>
      <c r="J9">
        <f>Nositele!G7</f>
        <v>239</v>
      </c>
      <c r="K9">
        <f>Nositele!H7</f>
        <v>2.67</v>
      </c>
      <c r="L9" s="168" t="e">
        <f t="shared" ca="1" si="1"/>
        <v>#DIV/0!</v>
      </c>
      <c r="M9" s="168" t="e">
        <f t="shared" ca="1" si="4"/>
        <v>#DIV/0!</v>
      </c>
      <c r="N9" s="168">
        <f ca="1">Bilance!$B$24</f>
        <v>0</v>
      </c>
      <c r="O9" s="168" t="e">
        <f t="shared" ca="1" si="2"/>
        <v>#DIV/0!</v>
      </c>
      <c r="P9" s="168">
        <f t="shared" ca="1" si="5"/>
        <v>0</v>
      </c>
      <c r="Q9" t="b">
        <f t="shared" ca="1" si="6"/>
        <v>0</v>
      </c>
      <c r="R9" s="168">
        <f t="shared" ca="1" si="3"/>
        <v>0</v>
      </c>
      <c r="S9" s="392" t="e">
        <f t="shared" ca="1" si="7"/>
        <v>#DIV/0!</v>
      </c>
      <c r="T9" s="392" t="e">
        <f t="shared" ca="1" si="8"/>
        <v>#DIV/0!</v>
      </c>
      <c r="U9" s="392" t="e">
        <f t="shared" ca="1" si="9"/>
        <v>#DIV/0!</v>
      </c>
      <c r="V9" s="168" t="e">
        <f t="shared" ca="1" si="10"/>
        <v>#DIV/0!</v>
      </c>
    </row>
    <row r="10" spans="1:22">
      <c r="A10" t="str">
        <f>ParametryZdroje!M13</f>
        <v>topný olej</v>
      </c>
      <c r="B10" t="b">
        <f>OR(AND(ZdrojIdxBudova=4,NOT(je_zdroj)),ZdrojIdxOld=4)</f>
        <v>0</v>
      </c>
      <c r="C10">
        <f>Zdroj!$E$13</f>
        <v>0</v>
      </c>
      <c r="D10">
        <f>Nositele!E8</f>
        <v>3.4645000000000002E-2</v>
      </c>
      <c r="E10" s="167">
        <f t="shared" si="0"/>
        <v>0</v>
      </c>
      <c r="F10">
        <f>VLOOKUP($A10,Primární!$A$2:$B$14,2,FALSE)</f>
        <v>1.2</v>
      </c>
      <c r="G10">
        <f>Nositele!M8</f>
        <v>5.8879999999999999E-5</v>
      </c>
      <c r="H10" s="387">
        <f>Nositele!O8</f>
        <v>0.93</v>
      </c>
      <c r="I10" s="387">
        <f>Nositele!P8</f>
        <v>0.67</v>
      </c>
      <c r="J10">
        <f>Nositele!G8</f>
        <v>73.3</v>
      </c>
      <c r="K10">
        <f>Nositele!H8</f>
        <v>29.83</v>
      </c>
      <c r="L10" s="168" t="e">
        <f t="shared" ca="1" si="1"/>
        <v>#DIV/0!</v>
      </c>
      <c r="M10" s="168" t="e">
        <f t="shared" ca="1" si="4"/>
        <v>#DIV/0!</v>
      </c>
      <c r="N10" s="168">
        <f ca="1">Bilance!$B$24</f>
        <v>0</v>
      </c>
      <c r="O10" s="168" t="e">
        <f t="shared" ca="1" si="2"/>
        <v>#DIV/0!</v>
      </c>
      <c r="P10" s="168">
        <f t="shared" ca="1" si="5"/>
        <v>0</v>
      </c>
      <c r="Q10" t="b">
        <f t="shared" ca="1" si="6"/>
        <v>0</v>
      </c>
      <c r="R10" s="168">
        <f t="shared" ca="1" si="3"/>
        <v>0</v>
      </c>
      <c r="S10" s="392" t="e">
        <f t="shared" ca="1" si="7"/>
        <v>#DIV/0!</v>
      </c>
      <c r="T10" s="392" t="e">
        <f t="shared" ca="1" si="8"/>
        <v>#DIV/0!</v>
      </c>
      <c r="U10" s="392" t="e">
        <f t="shared" ca="1" si="9"/>
        <v>#DIV/0!</v>
      </c>
      <c r="V10" s="168" t="e">
        <f t="shared" ca="1" si="10"/>
        <v>#DIV/0!</v>
      </c>
    </row>
    <row r="11" spans="1:22">
      <c r="A11" t="str">
        <f>TStaréKotle[[#Headers],[tepelné čerpadlo]]</f>
        <v>tepelné čerpadlo</v>
      </c>
      <c r="B11" t="b">
        <f>OR(AND(ZdrojIdxBudova=5,NOT(je_zdroj)),ZdrojIdxOld=5)</f>
        <v>0</v>
      </c>
      <c r="C11">
        <f>Zdroj!$E$13</f>
        <v>0</v>
      </c>
      <c r="D11">
        <f>Nositele!E7</f>
        <v>3.5999999999999999E-3</v>
      </c>
      <c r="E11" s="167">
        <f t="shared" si="0"/>
        <v>0</v>
      </c>
      <c r="F11">
        <f>F9</f>
        <v>2.2999999999999998</v>
      </c>
      <c r="G11">
        <f>Nositele!M7</f>
        <v>3.68E-5</v>
      </c>
      <c r="H11" s="387">
        <f>Nositele!O7</f>
        <v>0.85</v>
      </c>
      <c r="I11" s="387">
        <f>Nositele!P7</f>
        <v>0.65</v>
      </c>
      <c r="J11">
        <f>Nositele!G7</f>
        <v>239</v>
      </c>
      <c r="K11">
        <f>Nositele!H7</f>
        <v>2.67</v>
      </c>
      <c r="L11" s="168" t="e">
        <f t="shared" ca="1" si="1"/>
        <v>#DIV/0!</v>
      </c>
      <c r="M11" s="168" t="e">
        <f t="shared" ca="1" si="4"/>
        <v>#DIV/0!</v>
      </c>
      <c r="N11" s="168">
        <f ca="1">Bilance!$B$24</f>
        <v>0</v>
      </c>
      <c r="O11" s="168" t="e">
        <f t="shared" ca="1" si="2"/>
        <v>#DIV/0!</v>
      </c>
      <c r="P11" s="168">
        <f t="shared" ca="1" si="5"/>
        <v>0</v>
      </c>
      <c r="Q11" t="b">
        <f t="shared" ca="1" si="6"/>
        <v>0</v>
      </c>
      <c r="R11" s="168">
        <f t="shared" ca="1" si="3"/>
        <v>0</v>
      </c>
      <c r="S11" s="392" t="e">
        <f t="shared" ca="1" si="7"/>
        <v>#DIV/0!</v>
      </c>
      <c r="T11" s="392" t="e">
        <f t="shared" ca="1" si="8"/>
        <v>#DIV/0!</v>
      </c>
      <c r="U11" s="392" t="e">
        <f t="shared" ca="1" si="9"/>
        <v>#DIV/0!</v>
      </c>
      <c r="V11" s="168" t="e">
        <f t="shared" ca="1" si="10"/>
        <v>#DIV/0!</v>
      </c>
    </row>
    <row r="12" spans="1:22">
      <c r="A12" t="str">
        <f>TStaréKotle[[#Headers],[centrální zásobování teplem]] &amp; " - energie"</f>
        <v>centrální zásobování teplem - energie</v>
      </c>
      <c r="B12" t="b">
        <f>OR(AND(ZdrojIdxBudova=6,NOT(je_zdroj)),ZdrojIdxOld=6)</f>
        <v>0</v>
      </c>
      <c r="C12">
        <v>0</v>
      </c>
      <c r="D12">
        <f>Nositele!E12</f>
        <v>1</v>
      </c>
      <c r="E12" s="167">
        <f t="shared" si="0"/>
        <v>0</v>
      </c>
      <c r="F12">
        <f>IF(Typ_SZT=1,Primární!$E$2,IF(Typ_SZT=2,Primární!$E$3,0))</f>
        <v>0</v>
      </c>
      <c r="G12">
        <f>IFERROR(VLOOKUP(Zdroj!$I$6,TNositele[],11,FALSE),0)</f>
        <v>0</v>
      </c>
      <c r="H12" s="387">
        <f>IFERROR(VLOOKUP(Zdroj!$I$6,TNositele[],13,FALSE),0)</f>
        <v>0</v>
      </c>
      <c r="I12" s="387">
        <f>IFERROR(VLOOKUP(Zdroj!$I$6,TNositele[],14,FALSE),0)</f>
        <v>0</v>
      </c>
      <c r="J12">
        <f>IFERROR(VLOOKUP(Zdroj!$I$6,TNositele[],5,FALSE)/100,0)</f>
        <v>0</v>
      </c>
      <c r="K12">
        <f>Nositele!H12</f>
        <v>400</v>
      </c>
      <c r="L12" s="168" t="e">
        <f t="shared" ca="1" si="1"/>
        <v>#DIV/0!</v>
      </c>
      <c r="M12" s="168" t="e">
        <f t="shared" ca="1" si="4"/>
        <v>#DIV/0!</v>
      </c>
      <c r="N12" s="168">
        <f ca="1">Bilance!$B$24</f>
        <v>0</v>
      </c>
      <c r="O12" s="168" t="e">
        <f t="shared" ca="1" si="2"/>
        <v>#DIV/0!</v>
      </c>
      <c r="P12" s="168">
        <f t="shared" ca="1" si="5"/>
        <v>0</v>
      </c>
      <c r="Q12" t="b">
        <v>1</v>
      </c>
      <c r="R12" s="168">
        <f ca="1">IFERROR(M12*kWh_na_GJ*$J12*$F$12,0)</f>
        <v>0</v>
      </c>
      <c r="S12" s="392" t="e">
        <f t="shared" ca="1" si="7"/>
        <v>#DIV/0!</v>
      </c>
      <c r="T12" s="392" t="e">
        <f t="shared" ca="1" si="8"/>
        <v>#DIV/0!</v>
      </c>
      <c r="U12" s="392" t="e">
        <f t="shared" ca="1" si="9"/>
        <v>#DIV/0!</v>
      </c>
      <c r="V12" s="168" t="e">
        <f t="shared" ca="1" si="10"/>
        <v>#DIV/0!</v>
      </c>
    </row>
    <row r="13" spans="1:22">
      <c r="A13" s="393">
        <f>IFERROR(INDEX(A$4:A$12,$B$13),0)</f>
        <v>0</v>
      </c>
      <c r="B13" s="393">
        <f>IFERROR(MATCH(TRUE,$B$4:$B$12,0),0)</f>
        <v>0</v>
      </c>
      <c r="C13" s="394">
        <f t="shared" ref="C13:K13" si="11">IFERROR(INDEX(C$4:C$12,$B$13),0)</f>
        <v>0</v>
      </c>
      <c r="D13" s="395">
        <f t="shared" si="11"/>
        <v>0</v>
      </c>
      <c r="E13" s="562">
        <f t="shared" si="11"/>
        <v>0</v>
      </c>
      <c r="F13" s="394">
        <f t="shared" si="11"/>
        <v>0</v>
      </c>
      <c r="G13" s="563">
        <f t="shared" si="11"/>
        <v>0</v>
      </c>
      <c r="H13" s="562">
        <f t="shared" si="11"/>
        <v>0</v>
      </c>
      <c r="I13" s="562">
        <f t="shared" si="11"/>
        <v>0</v>
      </c>
      <c r="J13" s="561">
        <f t="shared" si="11"/>
        <v>0</v>
      </c>
      <c r="K13" s="561">
        <f t="shared" si="11"/>
        <v>0</v>
      </c>
      <c r="L13" s="394">
        <f t="shared" ref="L13:V13" si="12">IFERROR(INDEX(L$4:L$12,$B$13),0)</f>
        <v>0</v>
      </c>
      <c r="M13" s="394">
        <f t="shared" si="12"/>
        <v>0</v>
      </c>
      <c r="N13" s="394">
        <f t="shared" si="12"/>
        <v>0</v>
      </c>
      <c r="O13" s="394">
        <f t="shared" si="12"/>
        <v>0</v>
      </c>
      <c r="P13" s="394">
        <f t="shared" si="12"/>
        <v>0</v>
      </c>
      <c r="Q13" s="393">
        <f t="shared" si="12"/>
        <v>0</v>
      </c>
      <c r="R13" s="394">
        <f t="shared" si="12"/>
        <v>0</v>
      </c>
      <c r="S13" s="395">
        <f t="shared" si="12"/>
        <v>0</v>
      </c>
      <c r="T13" s="395">
        <f t="shared" si="12"/>
        <v>0</v>
      </c>
      <c r="U13" s="395">
        <f t="shared" si="12"/>
        <v>0</v>
      </c>
      <c r="V13" s="394">
        <f t="shared" si="12"/>
        <v>0</v>
      </c>
    </row>
    <row r="16" spans="1:22" ht="21">
      <c r="A16" s="390" t="s">
        <v>869</v>
      </c>
      <c r="B16" s="284"/>
      <c r="C16" s="284"/>
      <c r="D16" s="284"/>
      <c r="E16" s="284"/>
      <c r="F16" s="284"/>
      <c r="G16" s="284"/>
      <c r="H16" s="396"/>
      <c r="I16" s="396"/>
      <c r="J16" s="284"/>
      <c r="K16" s="284"/>
      <c r="L16" s="397"/>
      <c r="M16" s="397"/>
      <c r="N16" s="397"/>
      <c r="O16" s="397"/>
      <c r="P16" s="397"/>
      <c r="Q16" s="284"/>
      <c r="R16" s="397"/>
      <c r="S16" s="398"/>
      <c r="T16" s="398"/>
      <c r="U16" s="398"/>
    </row>
    <row r="17" spans="1:22">
      <c r="A17" s="284"/>
      <c r="B17" s="284"/>
      <c r="C17" s="284"/>
      <c r="D17" s="284"/>
      <c r="E17" s="284"/>
      <c r="F17" s="284"/>
      <c r="G17" s="284"/>
      <c r="H17" s="396"/>
      <c r="I17" s="396"/>
      <c r="J17" s="284"/>
      <c r="K17" s="284"/>
      <c r="L17" s="397"/>
      <c r="M17" s="397"/>
      <c r="N17" s="397"/>
      <c r="O17" s="397"/>
      <c r="P17" s="397"/>
      <c r="Q17" s="284"/>
      <c r="R17" s="397"/>
      <c r="S17" s="398"/>
      <c r="T17" s="398"/>
      <c r="U17" s="398"/>
    </row>
    <row r="18" spans="1:22" ht="60">
      <c r="A18" s="391" t="s">
        <v>845</v>
      </c>
      <c r="B18" s="391" t="s">
        <v>867</v>
      </c>
      <c r="C18" s="391" t="s">
        <v>847</v>
      </c>
      <c r="D18" s="391" t="s">
        <v>848</v>
      </c>
      <c r="E18" s="391" t="s">
        <v>849</v>
      </c>
      <c r="F18" s="391" t="s">
        <v>850</v>
      </c>
      <c r="G18" s="391" t="s">
        <v>851</v>
      </c>
      <c r="H18" s="391" t="s">
        <v>852</v>
      </c>
      <c r="I18" s="391" t="s">
        <v>853</v>
      </c>
      <c r="J18" s="391" t="s">
        <v>854</v>
      </c>
      <c r="K18" s="391" t="s">
        <v>855</v>
      </c>
      <c r="L18" s="391" t="s">
        <v>856</v>
      </c>
      <c r="M18" s="391" t="s">
        <v>857</v>
      </c>
      <c r="N18" s="391" t="s">
        <v>858</v>
      </c>
      <c r="O18" s="391" t="s">
        <v>1027</v>
      </c>
      <c r="P18" s="391" t="s">
        <v>859</v>
      </c>
      <c r="Q18" s="391" t="s">
        <v>860</v>
      </c>
      <c r="R18" s="391" t="s">
        <v>861</v>
      </c>
      <c r="S18" s="391" t="s">
        <v>862</v>
      </c>
      <c r="T18" s="391" t="s">
        <v>863</v>
      </c>
      <c r="U18" s="391" t="s">
        <v>864</v>
      </c>
      <c r="V18" s="391" t="s">
        <v>865</v>
      </c>
    </row>
    <row r="19" spans="1:22">
      <c r="A19" t="str">
        <f t="shared" ref="A19:B27" si="13">A4</f>
        <v>hnědé uhlí</v>
      </c>
      <c r="B19" t="b">
        <f>B4</f>
        <v>0</v>
      </c>
      <c r="C19">
        <f>Zdroj!$E$13</f>
        <v>0</v>
      </c>
      <c r="D19">
        <f t="shared" ref="D19:D27" si="14">D4</f>
        <v>1.7999999999999999E-2</v>
      </c>
      <c r="E19" s="167">
        <f t="shared" ref="E19:E27" si="15">Účinnost_stará</f>
        <v>0</v>
      </c>
      <c r="F19">
        <f t="shared" ref="F19:K26" si="16">F4</f>
        <v>1</v>
      </c>
      <c r="G19" t="e">
        <f t="shared" si="16"/>
        <v>#N/A</v>
      </c>
      <c r="H19" s="387" t="e">
        <f t="shared" si="16"/>
        <v>#N/A</v>
      </c>
      <c r="I19" s="387" t="e">
        <f t="shared" si="16"/>
        <v>#N/A</v>
      </c>
      <c r="J19">
        <f t="shared" si="16"/>
        <v>99.1</v>
      </c>
      <c r="K19">
        <f t="shared" si="16"/>
        <v>3.4</v>
      </c>
      <c r="L19" s="168" t="e">
        <f t="shared" ref="L19:L27" ca="1" si="17">$M19*kWh_na_GJ/D19</f>
        <v>#DIV/0!</v>
      </c>
      <c r="M19" s="168" t="e">
        <f ca="1">N19/E19</f>
        <v>#DIV/0!</v>
      </c>
      <c r="N19" s="168">
        <f ca="1">IF(je_zdroj,Bilance!$C$29,Bilance!$C$24)</f>
        <v>0</v>
      </c>
      <c r="O19" s="168" t="e">
        <f t="shared" ref="O19:O27" ca="1" si="18">M19*F19</f>
        <v>#DIV/0!</v>
      </c>
      <c r="P19" s="168">
        <f ca="1">IFERROR(N19/$C19,0)</f>
        <v>0</v>
      </c>
      <c r="Q19" t="b">
        <f ca="1">AND(P19&gt;=1000,P19&lt;=7000)</f>
        <v>0</v>
      </c>
      <c r="R19" s="168">
        <f t="shared" ref="R19:R26" ca="1" si="19">IFERROR(M19*kWh_na_GJ*$J19,0)</f>
        <v>0</v>
      </c>
      <c r="S19" s="392" t="e">
        <f ca="1">L19*$G19</f>
        <v>#DIV/0!</v>
      </c>
      <c r="T19" s="392" t="e">
        <f ca="1">S19*$H19</f>
        <v>#DIV/0!</v>
      </c>
      <c r="U19" s="392" t="e">
        <f ca="1">T19*$I19</f>
        <v>#DIV/0!</v>
      </c>
      <c r="V19" s="168" t="e">
        <f ca="1">K19*L19</f>
        <v>#DIV/0!</v>
      </c>
    </row>
    <row r="20" spans="1:22">
      <c r="A20" t="str">
        <f t="shared" si="13"/>
        <v>černé uhlí</v>
      </c>
      <c r="B20" t="b">
        <f t="shared" si="13"/>
        <v>0</v>
      </c>
      <c r="C20">
        <f>Zdroj!$E$13</f>
        <v>0</v>
      </c>
      <c r="D20">
        <f t="shared" si="14"/>
        <v>3.1E-2</v>
      </c>
      <c r="E20" s="167">
        <f t="shared" si="15"/>
        <v>0</v>
      </c>
      <c r="F20">
        <f t="shared" si="16"/>
        <v>1</v>
      </c>
      <c r="G20" t="e">
        <f t="shared" si="16"/>
        <v>#N/A</v>
      </c>
      <c r="H20" s="387" t="e">
        <f t="shared" si="16"/>
        <v>#N/A</v>
      </c>
      <c r="I20" s="387" t="e">
        <f t="shared" si="16"/>
        <v>#N/A</v>
      </c>
      <c r="J20">
        <f t="shared" si="16"/>
        <v>92.4</v>
      </c>
      <c r="K20">
        <f t="shared" si="16"/>
        <v>5.5</v>
      </c>
      <c r="L20" s="168" t="e">
        <f t="shared" ca="1" si="17"/>
        <v>#DIV/0!</v>
      </c>
      <c r="M20" s="168" t="e">
        <f t="shared" ref="M20:M27" ca="1" si="20">N20/E20</f>
        <v>#DIV/0!</v>
      </c>
      <c r="N20" s="168">
        <f ca="1">IF(je_zdroj,Bilance!$C$29,Bilance!$C$24)</f>
        <v>0</v>
      </c>
      <c r="O20" s="168" t="e">
        <f t="shared" ca="1" si="18"/>
        <v>#DIV/0!</v>
      </c>
      <c r="P20" s="168">
        <f t="shared" ref="P20:P27" ca="1" si="21">IFERROR(N20/$C20,0)</f>
        <v>0</v>
      </c>
      <c r="Q20" t="b">
        <f t="shared" ref="Q20:Q26" ca="1" si="22">AND(P20&gt;=1000,P20&lt;=7000)</f>
        <v>0</v>
      </c>
      <c r="R20" s="168">
        <f t="shared" ca="1" si="19"/>
        <v>0</v>
      </c>
      <c r="S20" s="392" t="e">
        <f t="shared" ref="S20:S27" ca="1" si="23">L20*$G20</f>
        <v>#DIV/0!</v>
      </c>
      <c r="T20" s="392" t="e">
        <f t="shared" ref="T20:T27" ca="1" si="24">S20*$H20</f>
        <v>#DIV/0!</v>
      </c>
      <c r="U20" s="392" t="e">
        <f t="shared" ref="U20:U27" ca="1" si="25">T20*$I20</f>
        <v>#DIV/0!</v>
      </c>
      <c r="V20" s="168" t="e">
        <f t="shared" ref="V20:V27" ca="1" si="26">K20*L20</f>
        <v>#DIV/0!</v>
      </c>
    </row>
    <row r="21" spans="1:22">
      <c r="A21" t="str">
        <f t="shared" si="13"/>
        <v>palivové dřevo</v>
      </c>
      <c r="B21" t="b">
        <f t="shared" si="13"/>
        <v>0</v>
      </c>
      <c r="C21">
        <f>Zdroj!$E$13</f>
        <v>0</v>
      </c>
      <c r="D21">
        <f t="shared" si="14"/>
        <v>1.4E-2</v>
      </c>
      <c r="E21" s="167">
        <f t="shared" si="15"/>
        <v>0</v>
      </c>
      <c r="F21">
        <f t="shared" si="16"/>
        <v>1</v>
      </c>
      <c r="G21" t="e">
        <f t="shared" si="16"/>
        <v>#N/A</v>
      </c>
      <c r="H21" s="387" t="e">
        <f t="shared" si="16"/>
        <v>#N/A</v>
      </c>
      <c r="I21" s="387" t="e">
        <f t="shared" si="16"/>
        <v>#N/A</v>
      </c>
      <c r="J21">
        <f t="shared" si="16"/>
        <v>0</v>
      </c>
      <c r="K21">
        <f t="shared" si="16"/>
        <v>3.5</v>
      </c>
      <c r="L21" s="168" t="e">
        <f t="shared" ca="1" si="17"/>
        <v>#DIV/0!</v>
      </c>
      <c r="M21" s="168" t="e">
        <f t="shared" ca="1" si="20"/>
        <v>#DIV/0!</v>
      </c>
      <c r="N21" s="168">
        <f ca="1">IF(je_zdroj,Bilance!$C$29,Bilance!$C$24)</f>
        <v>0</v>
      </c>
      <c r="O21" s="168" t="e">
        <f t="shared" ca="1" si="18"/>
        <v>#DIV/0!</v>
      </c>
      <c r="P21" s="168">
        <f t="shared" ca="1" si="21"/>
        <v>0</v>
      </c>
      <c r="Q21" t="b">
        <f t="shared" ca="1" si="22"/>
        <v>0</v>
      </c>
      <c r="R21" s="168">
        <f t="shared" ca="1" si="19"/>
        <v>0</v>
      </c>
      <c r="S21" s="392" t="e">
        <f t="shared" ca="1" si="23"/>
        <v>#DIV/0!</v>
      </c>
      <c r="T21" s="392" t="e">
        <f t="shared" ca="1" si="24"/>
        <v>#DIV/0!</v>
      </c>
      <c r="U21" s="392" t="e">
        <f t="shared" ca="1" si="25"/>
        <v>#DIV/0!</v>
      </c>
      <c r="V21" s="168" t="e">
        <f t="shared" ca="1" si="26"/>
        <v>#DIV/0!</v>
      </c>
    </row>
    <row r="22" spans="1:22">
      <c r="A22" t="str">
        <f t="shared" si="13"/>
        <v>pelety</v>
      </c>
      <c r="B22" t="b">
        <f t="shared" si="13"/>
        <v>0</v>
      </c>
      <c r="C22">
        <f>Zdroj!$E$13</f>
        <v>0</v>
      </c>
      <c r="D22">
        <f t="shared" si="14"/>
        <v>1.7000000000000001E-2</v>
      </c>
      <c r="E22" s="167">
        <f t="shared" si="15"/>
        <v>0</v>
      </c>
      <c r="F22">
        <f t="shared" si="16"/>
        <v>1</v>
      </c>
      <c r="G22" t="e">
        <f t="shared" si="16"/>
        <v>#N/A</v>
      </c>
      <c r="H22" s="387" t="e">
        <f t="shared" si="16"/>
        <v>#N/A</v>
      </c>
      <c r="I22" s="387" t="e">
        <f t="shared" si="16"/>
        <v>#N/A</v>
      </c>
      <c r="J22">
        <f t="shared" si="16"/>
        <v>0</v>
      </c>
      <c r="K22">
        <f t="shared" si="16"/>
        <v>5.4</v>
      </c>
      <c r="L22" s="168" t="e">
        <f t="shared" ca="1" si="17"/>
        <v>#DIV/0!</v>
      </c>
      <c r="M22" s="168" t="e">
        <f t="shared" ca="1" si="20"/>
        <v>#DIV/0!</v>
      </c>
      <c r="N22" s="168">
        <f ca="1">IF(je_zdroj,Bilance!$C$29,Bilance!$C$24)</f>
        <v>0</v>
      </c>
      <c r="O22" s="168" t="e">
        <f t="shared" ca="1" si="18"/>
        <v>#DIV/0!</v>
      </c>
      <c r="P22" s="168">
        <f t="shared" ca="1" si="21"/>
        <v>0</v>
      </c>
      <c r="Q22" t="b">
        <f t="shared" ca="1" si="22"/>
        <v>0</v>
      </c>
      <c r="R22" s="168">
        <f t="shared" ca="1" si="19"/>
        <v>0</v>
      </c>
      <c r="S22" s="392" t="e">
        <f t="shared" ca="1" si="23"/>
        <v>#DIV/0!</v>
      </c>
      <c r="T22" s="392" t="e">
        <f t="shared" ca="1" si="24"/>
        <v>#DIV/0!</v>
      </c>
      <c r="U22" s="392" t="e">
        <f t="shared" ca="1" si="25"/>
        <v>#DIV/0!</v>
      </c>
      <c r="V22" s="168" t="e">
        <f t="shared" ca="1" si="26"/>
        <v>#DIV/0!</v>
      </c>
    </row>
    <row r="23" spans="1:22">
      <c r="A23" t="str">
        <f t="shared" si="13"/>
        <v>zemní plyn</v>
      </c>
      <c r="B23" t="b">
        <f t="shared" si="13"/>
        <v>0</v>
      </c>
      <c r="C23">
        <f>Zdroj!$E$13</f>
        <v>0</v>
      </c>
      <c r="D23">
        <f t="shared" si="14"/>
        <v>3.4000000000000002E-2</v>
      </c>
      <c r="E23" s="167">
        <f t="shared" si="15"/>
        <v>0</v>
      </c>
      <c r="F23">
        <f t="shared" si="16"/>
        <v>1</v>
      </c>
      <c r="G23">
        <f t="shared" si="16"/>
        <v>6.9E-6</v>
      </c>
      <c r="H23" s="387">
        <f t="shared" si="16"/>
        <v>1</v>
      </c>
      <c r="I23" s="387">
        <f t="shared" si="16"/>
        <v>1</v>
      </c>
      <c r="J23">
        <f t="shared" si="16"/>
        <v>55.4</v>
      </c>
      <c r="K23">
        <f t="shared" si="16"/>
        <v>10</v>
      </c>
      <c r="L23" s="168" t="e">
        <f t="shared" ca="1" si="17"/>
        <v>#DIV/0!</v>
      </c>
      <c r="M23" s="168" t="e">
        <f t="shared" ca="1" si="20"/>
        <v>#DIV/0!</v>
      </c>
      <c r="N23" s="168">
        <f ca="1">IF(je_zdroj,Bilance!$C$29,Bilance!$C$24)</f>
        <v>0</v>
      </c>
      <c r="O23" s="168" t="e">
        <f t="shared" ca="1" si="18"/>
        <v>#DIV/0!</v>
      </c>
      <c r="P23" s="168">
        <f t="shared" ca="1" si="21"/>
        <v>0</v>
      </c>
      <c r="Q23" t="b">
        <f t="shared" ca="1" si="22"/>
        <v>0</v>
      </c>
      <c r="R23" s="168">
        <f t="shared" ca="1" si="19"/>
        <v>0</v>
      </c>
      <c r="S23" s="392" t="e">
        <f t="shared" ca="1" si="23"/>
        <v>#DIV/0!</v>
      </c>
      <c r="T23" s="392" t="e">
        <f t="shared" ca="1" si="24"/>
        <v>#DIV/0!</v>
      </c>
      <c r="U23" s="392" t="e">
        <f t="shared" ca="1" si="25"/>
        <v>#DIV/0!</v>
      </c>
      <c r="V23" s="168" t="e">
        <f t="shared" ca="1" si="26"/>
        <v>#DIV/0!</v>
      </c>
    </row>
    <row r="24" spans="1:22">
      <c r="A24" t="str">
        <f t="shared" si="13"/>
        <v>elektřina</v>
      </c>
      <c r="B24" t="b">
        <f t="shared" si="13"/>
        <v>0</v>
      </c>
      <c r="C24">
        <f>Zdroj!$E$13</f>
        <v>0</v>
      </c>
      <c r="D24">
        <f t="shared" si="14"/>
        <v>3.5999999999999999E-3</v>
      </c>
      <c r="E24" s="167">
        <f t="shared" si="15"/>
        <v>0</v>
      </c>
      <c r="F24">
        <f t="shared" si="16"/>
        <v>2.2999999999999998</v>
      </c>
      <c r="G24">
        <f t="shared" si="16"/>
        <v>3.68E-5</v>
      </c>
      <c r="H24" s="387">
        <f t="shared" si="16"/>
        <v>0.85</v>
      </c>
      <c r="I24" s="387">
        <f t="shared" si="16"/>
        <v>0.65</v>
      </c>
      <c r="J24">
        <f t="shared" si="16"/>
        <v>239</v>
      </c>
      <c r="K24">
        <f t="shared" si="16"/>
        <v>2.67</v>
      </c>
      <c r="L24" s="168" t="e">
        <f t="shared" ca="1" si="17"/>
        <v>#DIV/0!</v>
      </c>
      <c r="M24" s="168" t="e">
        <f t="shared" ca="1" si="20"/>
        <v>#DIV/0!</v>
      </c>
      <c r="N24" s="168">
        <f ca="1">IF(je_zdroj,Bilance!$C$29,Bilance!$C$24)</f>
        <v>0</v>
      </c>
      <c r="O24" s="168" t="e">
        <f t="shared" ca="1" si="18"/>
        <v>#DIV/0!</v>
      </c>
      <c r="P24" s="168">
        <f t="shared" ca="1" si="21"/>
        <v>0</v>
      </c>
      <c r="Q24" t="b">
        <f t="shared" ca="1" si="22"/>
        <v>0</v>
      </c>
      <c r="R24" s="168">
        <f t="shared" ca="1" si="19"/>
        <v>0</v>
      </c>
      <c r="S24" s="392" t="e">
        <f t="shared" ca="1" si="23"/>
        <v>#DIV/0!</v>
      </c>
      <c r="T24" s="392" t="e">
        <f t="shared" ca="1" si="24"/>
        <v>#DIV/0!</v>
      </c>
      <c r="U24" s="392" t="e">
        <f t="shared" ca="1" si="25"/>
        <v>#DIV/0!</v>
      </c>
      <c r="V24" s="168" t="e">
        <f t="shared" ca="1" si="26"/>
        <v>#DIV/0!</v>
      </c>
    </row>
    <row r="25" spans="1:22">
      <c r="A25" t="str">
        <f t="shared" si="13"/>
        <v>topný olej</v>
      </c>
      <c r="B25" t="b">
        <f t="shared" si="13"/>
        <v>0</v>
      </c>
      <c r="C25">
        <f>Zdroj!$E$13</f>
        <v>0</v>
      </c>
      <c r="D25">
        <f t="shared" si="14"/>
        <v>3.4645000000000002E-2</v>
      </c>
      <c r="E25" s="167">
        <f t="shared" si="15"/>
        <v>0</v>
      </c>
      <c r="F25">
        <f t="shared" si="16"/>
        <v>1.2</v>
      </c>
      <c r="G25">
        <f t="shared" si="16"/>
        <v>5.8879999999999999E-5</v>
      </c>
      <c r="H25" s="387">
        <f t="shared" si="16"/>
        <v>0.93</v>
      </c>
      <c r="I25" s="387">
        <f t="shared" si="16"/>
        <v>0.67</v>
      </c>
      <c r="J25">
        <f t="shared" si="16"/>
        <v>73.3</v>
      </c>
      <c r="K25">
        <f t="shared" si="16"/>
        <v>29.83</v>
      </c>
      <c r="L25" s="168" t="e">
        <f t="shared" ca="1" si="17"/>
        <v>#DIV/0!</v>
      </c>
      <c r="M25" s="168" t="e">
        <f t="shared" ca="1" si="20"/>
        <v>#DIV/0!</v>
      </c>
      <c r="N25" s="168">
        <f ca="1">IF(je_zdroj,Bilance!$C$29,Bilance!$C$24)</f>
        <v>0</v>
      </c>
      <c r="O25" s="168" t="e">
        <f t="shared" ca="1" si="18"/>
        <v>#DIV/0!</v>
      </c>
      <c r="P25" s="168">
        <f t="shared" ca="1" si="21"/>
        <v>0</v>
      </c>
      <c r="Q25" t="b">
        <f t="shared" ca="1" si="22"/>
        <v>0</v>
      </c>
      <c r="R25" s="168">
        <f t="shared" ca="1" si="19"/>
        <v>0</v>
      </c>
      <c r="S25" s="392" t="e">
        <f t="shared" ca="1" si="23"/>
        <v>#DIV/0!</v>
      </c>
      <c r="T25" s="392" t="e">
        <f t="shared" ca="1" si="24"/>
        <v>#DIV/0!</v>
      </c>
      <c r="U25" s="392" t="e">
        <f t="shared" ca="1" si="25"/>
        <v>#DIV/0!</v>
      </c>
      <c r="V25" s="168" t="e">
        <f t="shared" ca="1" si="26"/>
        <v>#DIV/0!</v>
      </c>
    </row>
    <row r="26" spans="1:22">
      <c r="A26" t="str">
        <f t="shared" si="13"/>
        <v>tepelné čerpadlo</v>
      </c>
      <c r="B26" t="b">
        <f t="shared" si="13"/>
        <v>0</v>
      </c>
      <c r="C26">
        <f>Zdroj!$E$13</f>
        <v>0</v>
      </c>
      <c r="D26">
        <f t="shared" si="14"/>
        <v>3.5999999999999999E-3</v>
      </c>
      <c r="E26" s="167">
        <f t="shared" si="15"/>
        <v>0</v>
      </c>
      <c r="F26">
        <f t="shared" si="16"/>
        <v>2.2999999999999998</v>
      </c>
      <c r="G26">
        <f t="shared" si="16"/>
        <v>3.68E-5</v>
      </c>
      <c r="H26" s="387">
        <f t="shared" si="16"/>
        <v>0.85</v>
      </c>
      <c r="I26" s="387">
        <f t="shared" si="16"/>
        <v>0.65</v>
      </c>
      <c r="J26">
        <f t="shared" si="16"/>
        <v>239</v>
      </c>
      <c r="K26">
        <f t="shared" si="16"/>
        <v>2.67</v>
      </c>
      <c r="L26" s="168" t="e">
        <f t="shared" ca="1" si="17"/>
        <v>#DIV/0!</v>
      </c>
      <c r="M26" s="168" t="e">
        <f t="shared" ca="1" si="20"/>
        <v>#DIV/0!</v>
      </c>
      <c r="N26" s="168">
        <f ca="1">IF(je_zdroj,Bilance!$C$29,Bilance!$C$24)</f>
        <v>0</v>
      </c>
      <c r="O26" s="168" t="e">
        <f t="shared" ca="1" si="18"/>
        <v>#DIV/0!</v>
      </c>
      <c r="P26" s="168">
        <f t="shared" ca="1" si="21"/>
        <v>0</v>
      </c>
      <c r="Q26" t="b">
        <f t="shared" ca="1" si="22"/>
        <v>0</v>
      </c>
      <c r="R26" s="168">
        <f t="shared" ca="1" si="19"/>
        <v>0</v>
      </c>
      <c r="S26" s="392" t="e">
        <f t="shared" ca="1" si="23"/>
        <v>#DIV/0!</v>
      </c>
      <c r="T26" s="392" t="e">
        <f t="shared" ca="1" si="24"/>
        <v>#DIV/0!</v>
      </c>
      <c r="U26" s="392" t="e">
        <f t="shared" ca="1" si="25"/>
        <v>#DIV/0!</v>
      </c>
      <c r="V26" s="168" t="e">
        <f t="shared" ca="1" si="26"/>
        <v>#DIV/0!</v>
      </c>
    </row>
    <row r="27" spans="1:22">
      <c r="A27" t="str">
        <f t="shared" si="13"/>
        <v>centrální zásobování teplem - energie</v>
      </c>
      <c r="B27" t="b">
        <f t="shared" si="13"/>
        <v>0</v>
      </c>
      <c r="C27">
        <v>0</v>
      </c>
      <c r="D27">
        <f t="shared" si="14"/>
        <v>1</v>
      </c>
      <c r="E27" s="167">
        <f t="shared" si="15"/>
        <v>0</v>
      </c>
      <c r="F27">
        <f>IF(Typ_SZT=1,Primární!$E$2,IF(Typ_SZT=2,Primární!$E$3,0))</f>
        <v>0</v>
      </c>
      <c r="G27">
        <f>G12</f>
        <v>0</v>
      </c>
      <c r="H27" s="387">
        <f>H12</f>
        <v>0</v>
      </c>
      <c r="I27" s="387">
        <f>I12</f>
        <v>0</v>
      </c>
      <c r="J27">
        <f>J12</f>
        <v>0</v>
      </c>
      <c r="K27">
        <f>K12</f>
        <v>400</v>
      </c>
      <c r="L27" s="168" t="e">
        <f t="shared" ca="1" si="17"/>
        <v>#DIV/0!</v>
      </c>
      <c r="M27" s="168" t="e">
        <f t="shared" ca="1" si="20"/>
        <v>#DIV/0!</v>
      </c>
      <c r="N27" s="168">
        <f ca="1">IF(je_zdroj,Bilance!$C$29,Bilance!$C$24)</f>
        <v>0</v>
      </c>
      <c r="O27" s="168" t="e">
        <f t="shared" ca="1" si="18"/>
        <v>#DIV/0!</v>
      </c>
      <c r="P27" s="168">
        <f t="shared" ca="1" si="21"/>
        <v>0</v>
      </c>
      <c r="Q27" t="b">
        <v>1</v>
      </c>
      <c r="R27" s="168">
        <f ca="1">IFERROR(M27*kWh_na_GJ*$J27*$F$12,0)</f>
        <v>0</v>
      </c>
      <c r="S27" s="392" t="e">
        <f t="shared" ca="1" si="23"/>
        <v>#DIV/0!</v>
      </c>
      <c r="T27" s="392" t="e">
        <f t="shared" ca="1" si="24"/>
        <v>#DIV/0!</v>
      </c>
      <c r="U27" s="392" t="e">
        <f t="shared" ca="1" si="25"/>
        <v>#DIV/0!</v>
      </c>
      <c r="V27" s="168" t="e">
        <f t="shared" ca="1" si="26"/>
        <v>#DIV/0!</v>
      </c>
    </row>
    <row r="28" spans="1:22">
      <c r="A28" s="393">
        <f>IFERROR(INDEX(A$4:A$12,$B$13),0)</f>
        <v>0</v>
      </c>
      <c r="B28" s="393">
        <f>IFERROR(MATCH(TRUE,$B$4:$B$12,0),0)</f>
        <v>0</v>
      </c>
      <c r="C28" s="394">
        <f t="shared" ref="C28:K28" si="27">IFERROR(INDEX(C$19:C$27,$B$13),0)</f>
        <v>0</v>
      </c>
      <c r="D28" s="395">
        <f t="shared" si="27"/>
        <v>0</v>
      </c>
      <c r="E28" s="562">
        <f t="shared" si="27"/>
        <v>0</v>
      </c>
      <c r="F28" s="394">
        <f t="shared" si="27"/>
        <v>0</v>
      </c>
      <c r="G28" s="563">
        <f t="shared" si="27"/>
        <v>0</v>
      </c>
      <c r="H28" s="562">
        <f t="shared" si="27"/>
        <v>0</v>
      </c>
      <c r="I28" s="562">
        <f t="shared" si="27"/>
        <v>0</v>
      </c>
      <c r="J28" s="561">
        <f t="shared" si="27"/>
        <v>0</v>
      </c>
      <c r="K28" s="561">
        <f t="shared" si="27"/>
        <v>0</v>
      </c>
      <c r="L28" s="394">
        <f>IFERROR(INDEX(L$19:L$27,$B$13),0)</f>
        <v>0</v>
      </c>
      <c r="M28" s="394">
        <f>IFERROR(INDEX(M$19:M$27,$B$13),0)</f>
        <v>0</v>
      </c>
      <c r="N28" s="394">
        <f>IFERROR(INDEX(N$19:N$27,$B$13),0)</f>
        <v>0</v>
      </c>
      <c r="O28" s="394">
        <f>IFERROR(INDEX(O$19:O$27,$B$13),0)</f>
        <v>0</v>
      </c>
      <c r="P28" s="394">
        <f t="shared" ref="P28:Q28" si="28">IFERROR(INDEX(P$4:P$12,$B$13),0)</f>
        <v>0</v>
      </c>
      <c r="Q28" s="393">
        <f t="shared" si="28"/>
        <v>0</v>
      </c>
      <c r="R28" s="394">
        <f>IFERROR(INDEX(R$19:R$27,$B$13),0)</f>
        <v>0</v>
      </c>
      <c r="S28" s="395">
        <f>IFERROR(INDEX(S$19:S$27,$B$13),0)</f>
        <v>0</v>
      </c>
      <c r="T28" s="395">
        <f>IFERROR(INDEX(T$19:T$27,$B$13),0)</f>
        <v>0</v>
      </c>
      <c r="U28" s="395">
        <f>IFERROR(INDEX(U$19:U$27,$B$13),0)</f>
        <v>0</v>
      </c>
      <c r="V28" s="394">
        <f>IFERROR(INDEX(V$19:V$27,$B$13),0)</f>
        <v>0</v>
      </c>
    </row>
    <row r="29" spans="1:22">
      <c r="A29" s="284"/>
      <c r="B29" s="284"/>
      <c r="C29" s="284"/>
      <c r="D29" s="284"/>
      <c r="E29" s="284"/>
      <c r="F29" s="284"/>
      <c r="G29" s="284"/>
      <c r="H29" s="396"/>
      <c r="I29" s="396"/>
      <c r="J29" s="284"/>
      <c r="K29" s="284"/>
      <c r="L29" s="397"/>
      <c r="M29" s="397"/>
      <c r="N29" s="397"/>
      <c r="O29" s="397"/>
      <c r="P29" s="397"/>
      <c r="Q29" s="284"/>
      <c r="R29" s="397"/>
      <c r="S29" s="398"/>
      <c r="T29" s="398"/>
      <c r="U29" s="398"/>
    </row>
    <row r="30" spans="1:22">
      <c r="A30" s="284"/>
      <c r="B30" s="284"/>
      <c r="C30" s="284"/>
      <c r="D30" s="284"/>
      <c r="E30" s="284"/>
      <c r="F30" s="284"/>
      <c r="G30" s="284"/>
      <c r="H30" s="396"/>
      <c r="I30" s="396"/>
      <c r="J30" s="284"/>
      <c r="K30" s="284"/>
      <c r="L30" s="397"/>
      <c r="M30" s="397"/>
      <c r="N30" s="397"/>
      <c r="O30" s="397"/>
      <c r="P30" s="397"/>
      <c r="Q30" s="284"/>
      <c r="R30" s="397"/>
      <c r="S30" s="398"/>
      <c r="T30" s="398"/>
      <c r="U30" s="398"/>
    </row>
    <row r="31" spans="1:22" ht="21">
      <c r="A31" s="390" t="s">
        <v>870</v>
      </c>
    </row>
    <row r="33" spans="1:22" ht="60">
      <c r="A33" s="391" t="s">
        <v>845</v>
      </c>
      <c r="B33" s="391" t="s">
        <v>867</v>
      </c>
      <c r="C33" s="391" t="s">
        <v>847</v>
      </c>
      <c r="D33" s="391" t="s">
        <v>848</v>
      </c>
      <c r="E33" s="391" t="s">
        <v>849</v>
      </c>
      <c r="F33" s="391" t="s">
        <v>850</v>
      </c>
      <c r="G33" s="391" t="s">
        <v>851</v>
      </c>
      <c r="H33" s="391" t="s">
        <v>852</v>
      </c>
      <c r="I33" s="391" t="s">
        <v>853</v>
      </c>
      <c r="J33" s="391" t="s">
        <v>854</v>
      </c>
      <c r="K33" s="391" t="s">
        <v>855</v>
      </c>
      <c r="L33" s="391" t="s">
        <v>856</v>
      </c>
      <c r="M33" s="391" t="s">
        <v>857</v>
      </c>
      <c r="N33" s="391" t="s">
        <v>858</v>
      </c>
      <c r="O33" s="391" t="s">
        <v>1027</v>
      </c>
      <c r="P33" s="391" t="s">
        <v>859</v>
      </c>
      <c r="Q33" s="391" t="s">
        <v>860</v>
      </c>
      <c r="R33" s="391" t="s">
        <v>861</v>
      </c>
      <c r="S33" s="391" t="s">
        <v>862</v>
      </c>
      <c r="T33" s="391" t="s">
        <v>863</v>
      </c>
      <c r="U33" s="391" t="s">
        <v>864</v>
      </c>
      <c r="V33" s="391" t="s">
        <v>865</v>
      </c>
    </row>
    <row r="34" spans="1:22">
      <c r="A34" t="str">
        <f t="array" ref="A34:A37">ParametryZdroje!$B$30:$B$33</f>
        <v>kotel na štěpku, pelety nebo brikety</v>
      </c>
      <c r="B34" t="b">
        <f>ZdrojIdxNew=1</f>
        <v>0</v>
      </c>
      <c r="C34" s="168">
        <f>Zdroj!$E$19</f>
        <v>0</v>
      </c>
      <c r="D34">
        <f>Jen_zdroj!D19</f>
        <v>1.7000000000000001E-2</v>
      </c>
      <c r="E34" s="167">
        <f>Účinnost_nová</f>
        <v>0</v>
      </c>
      <c r="F34">
        <f>Jen_zdroj!F19</f>
        <v>1</v>
      </c>
      <c r="G34">
        <f>Jen_zdroj!G19</f>
        <v>2.1199999999999999E-3</v>
      </c>
      <c r="H34" s="387">
        <f>Jen_zdroj!H19</f>
        <v>0.998</v>
      </c>
      <c r="I34" s="387">
        <f>Jen_zdroj!I19</f>
        <v>0.98799999999999999</v>
      </c>
      <c r="J34">
        <f>Jen_zdroj!J19</f>
        <v>0</v>
      </c>
      <c r="K34">
        <f>Jen_zdroj!K19</f>
        <v>5.4</v>
      </c>
      <c r="L34" s="168" t="e">
        <f>$M34*kWh_na_GJ/D34</f>
        <v>#DIV/0!</v>
      </c>
      <c r="M34" s="168" t="e">
        <f>N34/E34</f>
        <v>#DIV/0!</v>
      </c>
      <c r="N34" s="168">
        <f>IF(je_zdroj,Bilance!$C$28,0)</f>
        <v>0</v>
      </c>
      <c r="O34" s="168" t="e">
        <f>M34*$F34</f>
        <v>#DIV/0!</v>
      </c>
      <c r="P34" s="168">
        <f t="shared" ref="P34:P37" si="29">IFERROR(N34/$C34,0)</f>
        <v>0</v>
      </c>
      <c r="Q34" t="b">
        <f t="shared" ref="Q34:Q37" si="30">AND(P34&gt;=1000,P34&lt;=7000)</f>
        <v>0</v>
      </c>
      <c r="R34" s="168">
        <f>IFERROR(M34*kWh_na_GJ*$J34,0)</f>
        <v>0</v>
      </c>
      <c r="S34" s="392" t="e">
        <f t="shared" ref="S34:S37" si="31">L34*$G34</f>
        <v>#DIV/0!</v>
      </c>
      <c r="T34" s="392" t="e">
        <f t="shared" ref="T34:T37" si="32">S34*$H34</f>
        <v>#DIV/0!</v>
      </c>
      <c r="U34" s="392" t="e">
        <f t="shared" ref="U34" si="33">T34*$I34</f>
        <v>#DIV/0!</v>
      </c>
      <c r="V34" s="168" t="e">
        <f t="shared" ref="V34:V37" si="34">K34*L34</f>
        <v>#DIV/0!</v>
      </c>
    </row>
    <row r="35" spans="1:22">
      <c r="A35" t="str">
        <v>kotel na odpadní dřevo</v>
      </c>
      <c r="B35" t="b">
        <f>ZdrojIdxNew=2</f>
        <v>0</v>
      </c>
      <c r="C35" s="168">
        <f>Zdroj!$E$19</f>
        <v>0</v>
      </c>
      <c r="D35">
        <f>Jen_zdroj!D20</f>
        <v>1.7000000000000001E-2</v>
      </c>
      <c r="E35" s="167">
        <f>Účinnost_nová</f>
        <v>0</v>
      </c>
      <c r="F35">
        <f>Jen_zdroj!F20</f>
        <v>1</v>
      </c>
      <c r="G35">
        <f>Jen_zdroj!G20</f>
        <v>2.1199999999999999E-3</v>
      </c>
      <c r="H35" s="387">
        <f>Jen_zdroj!H20</f>
        <v>0.998</v>
      </c>
      <c r="I35" s="387">
        <f>Jen_zdroj!I20</f>
        <v>0.99099999999999999</v>
      </c>
      <c r="J35">
        <f>Jen_zdroj!J20</f>
        <v>0</v>
      </c>
      <c r="K35">
        <f>Jen_zdroj!K20</f>
        <v>0</v>
      </c>
      <c r="L35" s="168" t="e">
        <f>$M35*kWh_na_GJ/D35</f>
        <v>#DIV/0!</v>
      </c>
      <c r="M35" s="168" t="e">
        <f t="shared" ref="M35:M37" si="35">N35/E35</f>
        <v>#DIV/0!</v>
      </c>
      <c r="N35" s="168">
        <f>IF(je_zdroj,Bilance!$C$28,0)</f>
        <v>0</v>
      </c>
      <c r="O35" s="168" t="e">
        <f t="shared" ref="O35:O37" si="36">M35*$F35</f>
        <v>#DIV/0!</v>
      </c>
      <c r="P35" s="168">
        <f t="shared" si="29"/>
        <v>0</v>
      </c>
      <c r="Q35" t="b">
        <f t="shared" si="30"/>
        <v>0</v>
      </c>
      <c r="R35" s="168">
        <f>IFERROR(M35*kWh_na_GJ*$J35,0)</f>
        <v>0</v>
      </c>
      <c r="S35" s="392" t="e">
        <f t="shared" si="31"/>
        <v>#DIV/0!</v>
      </c>
      <c r="T35" s="392" t="e">
        <f t="shared" si="32"/>
        <v>#DIV/0!</v>
      </c>
      <c r="U35" s="392" t="e">
        <f>S35*$I35</f>
        <v>#DIV/0!</v>
      </c>
      <c r="V35" s="168" t="e">
        <f t="shared" si="34"/>
        <v>#DIV/0!</v>
      </c>
    </row>
    <row r="36" spans="1:22">
      <c r="A36" t="str">
        <v>kotel na bioplyn</v>
      </c>
      <c r="B36" t="b">
        <f>ZdrojIdxNew=3</f>
        <v>0</v>
      </c>
      <c r="C36" s="168">
        <f>Zdroj!$E$19</f>
        <v>0</v>
      </c>
      <c r="D36">
        <f>Jen_zdroj!D21</f>
        <v>3.4000000000000002E-2</v>
      </c>
      <c r="E36" s="167">
        <f>Účinnost_nová</f>
        <v>0</v>
      </c>
      <c r="F36">
        <f>Jen_zdroj!F21</f>
        <v>1.2</v>
      </c>
      <c r="G36">
        <f>Jen_zdroj!G21</f>
        <v>6.9E-6</v>
      </c>
      <c r="H36" s="387">
        <f>Jen_zdroj!H21</f>
        <v>1</v>
      </c>
      <c r="I36" s="387">
        <f>Jen_zdroj!I21</f>
        <v>1</v>
      </c>
      <c r="J36">
        <f>Jen_zdroj!J21</f>
        <v>0</v>
      </c>
      <c r="K36">
        <f>Jen_zdroj!K21</f>
        <v>0</v>
      </c>
      <c r="L36" s="168" t="e">
        <f>$M36*kWh_na_GJ/D36</f>
        <v>#DIV/0!</v>
      </c>
      <c r="M36" s="168" t="e">
        <f t="shared" si="35"/>
        <v>#DIV/0!</v>
      </c>
      <c r="N36" s="168">
        <f>IF(je_zdroj,Bilance!$C$28,0)</f>
        <v>0</v>
      </c>
      <c r="O36" s="168" t="e">
        <f t="shared" si="36"/>
        <v>#DIV/0!</v>
      </c>
      <c r="P36" s="168">
        <f t="shared" si="29"/>
        <v>0</v>
      </c>
      <c r="Q36" t="b">
        <f t="shared" si="30"/>
        <v>0</v>
      </c>
      <c r="R36" s="168">
        <f>IFERROR(M36*kWh_na_GJ*$J36,0)</f>
        <v>0</v>
      </c>
      <c r="S36" s="392" t="e">
        <f t="shared" si="31"/>
        <v>#DIV/0!</v>
      </c>
      <c r="T36" s="392" t="e">
        <f t="shared" si="32"/>
        <v>#DIV/0!</v>
      </c>
      <c r="U36" s="392" t="e">
        <f>S36*$I36</f>
        <v>#DIV/0!</v>
      </c>
      <c r="V36" s="168" t="e">
        <f t="shared" si="34"/>
        <v>#DIV/0!</v>
      </c>
    </row>
    <row r="37" spans="1:22">
      <c r="A37" t="str">
        <v>tepelné čerpadlo</v>
      </c>
      <c r="B37" t="b">
        <f>ZdrojIdxNew=4</f>
        <v>0</v>
      </c>
      <c r="C37" s="168">
        <f>Zdroj!$E$19</f>
        <v>0</v>
      </c>
      <c r="D37">
        <f>Jen_zdroj!D22</f>
        <v>3.5999999999999999E-3</v>
      </c>
      <c r="E37" s="167">
        <f>Účinnost_nová</f>
        <v>0</v>
      </c>
      <c r="F37">
        <f>Jen_zdroj!F22</f>
        <v>2.2999999999999998</v>
      </c>
      <c r="G37">
        <f>Jen_zdroj!G22</f>
        <v>3.68E-5</v>
      </c>
      <c r="H37" s="387">
        <f>Jen_zdroj!H22</f>
        <v>0.85</v>
      </c>
      <c r="I37" s="387">
        <f>Jen_zdroj!I22</f>
        <v>0.65</v>
      </c>
      <c r="J37">
        <f>Jen_zdroj!J22</f>
        <v>239</v>
      </c>
      <c r="K37">
        <f>Jen_zdroj!K22</f>
        <v>2.67</v>
      </c>
      <c r="L37" s="168" t="e">
        <f>$M37*kWh_na_GJ/D37</f>
        <v>#DIV/0!</v>
      </c>
      <c r="M37" s="168" t="e">
        <f t="shared" si="35"/>
        <v>#DIV/0!</v>
      </c>
      <c r="N37" s="168">
        <f>IF(je_zdroj,Bilance!$C$28,0)</f>
        <v>0</v>
      </c>
      <c r="O37" s="168" t="e">
        <f t="shared" si="36"/>
        <v>#DIV/0!</v>
      </c>
      <c r="P37" s="168">
        <f t="shared" si="29"/>
        <v>0</v>
      </c>
      <c r="Q37" t="b">
        <f t="shared" si="30"/>
        <v>0</v>
      </c>
      <c r="R37" s="168">
        <f>IFERROR(M37*kWh_na_GJ*$J37,0)</f>
        <v>0</v>
      </c>
      <c r="S37" s="392" t="e">
        <f t="shared" si="31"/>
        <v>#DIV/0!</v>
      </c>
      <c r="T37" s="392" t="e">
        <f t="shared" si="32"/>
        <v>#DIV/0!</v>
      </c>
      <c r="U37" s="392" t="e">
        <f>S37*$I37</f>
        <v>#DIV/0!</v>
      </c>
      <c r="V37" s="168" t="e">
        <f t="shared" si="34"/>
        <v>#DIV/0!</v>
      </c>
    </row>
    <row r="38" spans="1:22">
      <c r="A38" s="393">
        <f>IFERROR(INDEX(A$34:A$36,$B$38),0)</f>
        <v>0</v>
      </c>
      <c r="B38" s="393">
        <f>IFERROR(MATCH(TRUE,$B$34:$B$37,0),0)</f>
        <v>0</v>
      </c>
      <c r="C38" s="393">
        <f t="shared" ref="C38:V38" si="37">IFERROR(INDEX(C$34:C$37,$B$38),0)</f>
        <v>0</v>
      </c>
      <c r="D38" s="393">
        <f t="shared" si="37"/>
        <v>0</v>
      </c>
      <c r="E38" s="393">
        <f t="shared" si="37"/>
        <v>0</v>
      </c>
      <c r="F38" s="393">
        <f t="shared" si="37"/>
        <v>0</v>
      </c>
      <c r="G38" s="393">
        <f t="shared" si="37"/>
        <v>0</v>
      </c>
      <c r="H38" s="393">
        <f t="shared" si="37"/>
        <v>0</v>
      </c>
      <c r="I38" s="393">
        <f t="shared" si="37"/>
        <v>0</v>
      </c>
      <c r="J38" s="393">
        <f t="shared" si="37"/>
        <v>0</v>
      </c>
      <c r="K38" s="393">
        <f t="shared" si="37"/>
        <v>0</v>
      </c>
      <c r="L38" s="394">
        <f t="shared" si="37"/>
        <v>0</v>
      </c>
      <c r="M38" s="394">
        <f t="shared" si="37"/>
        <v>0</v>
      </c>
      <c r="N38" s="394">
        <f t="shared" si="37"/>
        <v>0</v>
      </c>
      <c r="O38" s="394">
        <f t="shared" si="37"/>
        <v>0</v>
      </c>
      <c r="P38" s="394">
        <f t="shared" si="37"/>
        <v>0</v>
      </c>
      <c r="Q38" s="393">
        <f t="shared" si="37"/>
        <v>0</v>
      </c>
      <c r="R38" s="394">
        <f t="shared" si="37"/>
        <v>0</v>
      </c>
      <c r="S38" s="395">
        <f t="shared" si="37"/>
        <v>0</v>
      </c>
      <c r="T38" s="395">
        <f t="shared" si="37"/>
        <v>0</v>
      </c>
      <c r="U38" s="395">
        <f t="shared" si="37"/>
        <v>0</v>
      </c>
      <c r="V38" s="394">
        <f t="shared" si="37"/>
        <v>0</v>
      </c>
    </row>
    <row r="41" spans="1:22" ht="21">
      <c r="A41" s="390" t="s">
        <v>871</v>
      </c>
    </row>
    <row r="42" spans="1:22">
      <c r="A42" s="399">
        <f>A38</f>
        <v>0</v>
      </c>
      <c r="B42" s="399"/>
      <c r="C42" s="399"/>
      <c r="D42" s="399"/>
      <c r="E42" s="399"/>
      <c r="F42" s="399"/>
      <c r="G42" s="399"/>
      <c r="H42" s="399"/>
      <c r="I42" s="399"/>
      <c r="J42" s="399"/>
      <c r="K42" s="399"/>
      <c r="L42" s="399"/>
      <c r="M42" s="400">
        <f>M28+M38</f>
        <v>0</v>
      </c>
      <c r="N42" s="400">
        <f>N28+N38</f>
        <v>0</v>
      </c>
      <c r="O42" s="400">
        <f>O28+O38</f>
        <v>0</v>
      </c>
      <c r="P42" s="400"/>
      <c r="Q42" s="399"/>
      <c r="R42" s="400">
        <f>R28+R38</f>
        <v>0</v>
      </c>
      <c r="S42" s="400">
        <f>S28+S38</f>
        <v>0</v>
      </c>
      <c r="T42" s="400">
        <f>T28+T38</f>
        <v>0</v>
      </c>
      <c r="U42" s="400">
        <f>U28+U38</f>
        <v>0</v>
      </c>
      <c r="V42" s="400">
        <f>V28+V38</f>
        <v>0</v>
      </c>
    </row>
    <row r="46" spans="1:22" ht="60">
      <c r="A46" s="391" t="s">
        <v>845</v>
      </c>
      <c r="B46" s="391" t="s">
        <v>846</v>
      </c>
      <c r="C46" s="391" t="s">
        <v>847</v>
      </c>
      <c r="D46" s="391" t="s">
        <v>848</v>
      </c>
      <c r="E46" s="391" t="s">
        <v>849</v>
      </c>
      <c r="F46" s="391" t="s">
        <v>850</v>
      </c>
      <c r="G46" s="391" t="s">
        <v>851</v>
      </c>
      <c r="H46" s="391" t="s">
        <v>852</v>
      </c>
      <c r="I46" s="391" t="s">
        <v>853</v>
      </c>
      <c r="J46" s="391" t="s">
        <v>854</v>
      </c>
      <c r="K46" s="391" t="s">
        <v>855</v>
      </c>
      <c r="L46" s="391" t="s">
        <v>856</v>
      </c>
      <c r="M46" s="391" t="s">
        <v>857</v>
      </c>
      <c r="N46" s="391" t="s">
        <v>858</v>
      </c>
      <c r="O46" s="391" t="s">
        <v>1027</v>
      </c>
      <c r="P46" s="391" t="s">
        <v>859</v>
      </c>
      <c r="Q46" s="391" t="s">
        <v>860</v>
      </c>
      <c r="R46" s="391" t="s">
        <v>861</v>
      </c>
      <c r="S46" s="391" t="s">
        <v>862</v>
      </c>
      <c r="T46" s="391" t="s">
        <v>863</v>
      </c>
      <c r="U46" s="391" t="s">
        <v>864</v>
      </c>
      <c r="V46" s="391" t="s">
        <v>865</v>
      </c>
    </row>
    <row r="47" spans="1:22">
      <c r="A47" s="393" t="s">
        <v>866</v>
      </c>
      <c r="B47" s="393"/>
      <c r="C47" s="393"/>
      <c r="D47" s="393"/>
      <c r="E47" s="393"/>
      <c r="F47" s="393"/>
      <c r="G47" s="393"/>
      <c r="H47" s="393"/>
      <c r="I47" s="393"/>
      <c r="J47" s="393"/>
      <c r="K47" s="393"/>
      <c r="L47" s="394"/>
      <c r="M47" s="394">
        <f>M13-M42</f>
        <v>0</v>
      </c>
      <c r="N47" s="394">
        <f>N13-N42</f>
        <v>0</v>
      </c>
      <c r="O47" s="394">
        <f>O13-O42</f>
        <v>0</v>
      </c>
      <c r="P47" s="393"/>
      <c r="Q47" s="393"/>
      <c r="R47" s="394">
        <f>R13-R42</f>
        <v>0</v>
      </c>
      <c r="S47" s="395">
        <f>S13-S42</f>
        <v>0</v>
      </c>
      <c r="T47" s="395">
        <f>T13-T42</f>
        <v>0</v>
      </c>
      <c r="U47" s="395">
        <f>U13-U42</f>
        <v>0</v>
      </c>
      <c r="V47" s="394">
        <f>V13-V42</f>
        <v>0</v>
      </c>
    </row>
  </sheetData>
  <sheetProtection algorithmName="SHA-512" hashValue="MsUp6Zx5WgjR82HsVwC5XsKFb8HgLtsrGrDunhF28/ymBQRmCmuZQzo0hjkMiZjqmQTbGXoJvBE0biEy6ADpqw==" saltValue="SRy9DNkupHLVtxA4zhX6KQ==" spinCount="100000" sheet="1" objects="1" scenarios="1"/>
  <pageMargins left="0.7" right="0.7" top="0.78740157499999996" bottom="0.78740157499999996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865E5-E94E-4715-88A4-6A50392991DD}">
  <sheetPr codeName="List26"/>
  <dimension ref="A1:E14"/>
  <sheetViews>
    <sheetView workbookViewId="0"/>
  </sheetViews>
  <sheetFormatPr defaultColWidth="9.140625" defaultRowHeight="15"/>
  <cols>
    <col min="1" max="1" width="29.7109375" bestFit="1" customWidth="1"/>
    <col min="2" max="2" width="33.5703125" customWidth="1"/>
    <col min="4" max="4" width="29.7109375" bestFit="1" customWidth="1"/>
    <col min="5" max="5" width="41" customWidth="1"/>
  </cols>
  <sheetData>
    <row r="1" spans="1:5" ht="30">
      <c r="A1" s="401" t="s">
        <v>873</v>
      </c>
      <c r="B1" s="389" t="s">
        <v>874</v>
      </c>
      <c r="D1" s="389" t="s">
        <v>875</v>
      </c>
      <c r="E1" s="389" t="s">
        <v>874</v>
      </c>
    </row>
    <row r="2" spans="1:5">
      <c r="A2" s="28" t="s">
        <v>190</v>
      </c>
      <c r="B2" s="402">
        <v>1</v>
      </c>
      <c r="D2" t="s">
        <v>942</v>
      </c>
      <c r="E2">
        <v>1</v>
      </c>
    </row>
    <row r="3" spans="1:5">
      <c r="A3" s="28" t="s">
        <v>189</v>
      </c>
      <c r="B3" s="402">
        <v>1</v>
      </c>
      <c r="D3" t="s">
        <v>207</v>
      </c>
      <c r="E3">
        <v>1.3</v>
      </c>
    </row>
    <row r="4" spans="1:5">
      <c r="A4" s="28" t="s">
        <v>193</v>
      </c>
      <c r="B4" s="402">
        <v>1</v>
      </c>
      <c r="E4">
        <v>1.3</v>
      </c>
    </row>
    <row r="5" spans="1:5">
      <c r="A5" s="28" t="s">
        <v>876</v>
      </c>
      <c r="B5" s="402">
        <v>1.2</v>
      </c>
    </row>
    <row r="6" spans="1:5">
      <c r="A6" s="28" t="s">
        <v>192</v>
      </c>
      <c r="B6" s="402">
        <v>1.2</v>
      </c>
    </row>
    <row r="7" spans="1:5">
      <c r="A7" s="28" t="s">
        <v>191</v>
      </c>
      <c r="B7" s="402">
        <v>2.2999999999999998</v>
      </c>
    </row>
    <row r="8" spans="1:5">
      <c r="A8" s="28" t="s">
        <v>194</v>
      </c>
      <c r="B8" s="402">
        <v>1</v>
      </c>
    </row>
    <row r="9" spans="1:5">
      <c r="A9" s="28" t="s">
        <v>148</v>
      </c>
      <c r="B9" s="402">
        <v>1</v>
      </c>
    </row>
    <row r="10" spans="1:5">
      <c r="A10" s="28" t="s">
        <v>234</v>
      </c>
      <c r="B10" s="402">
        <v>1</v>
      </c>
    </row>
    <row r="11" spans="1:5">
      <c r="A11" s="28" t="s">
        <v>233</v>
      </c>
      <c r="B11" s="402">
        <v>1.2</v>
      </c>
    </row>
    <row r="12" spans="1:5">
      <c r="A12" s="28" t="s">
        <v>190</v>
      </c>
      <c r="B12" s="402">
        <v>1</v>
      </c>
    </row>
    <row r="13" spans="1:5">
      <c r="A13" s="28" t="s">
        <v>189</v>
      </c>
      <c r="B13" s="402">
        <v>1</v>
      </c>
    </row>
    <row r="14" spans="1:5">
      <c r="A14" s="28" t="s">
        <v>193</v>
      </c>
      <c r="B14" s="402">
        <v>1</v>
      </c>
    </row>
  </sheetData>
  <sheetProtection algorithmName="SHA-512" hashValue="xryEwz0R+xXhhCuh9WQ8spS9SejhefSQnw+wsKNHIkgzeGlqsxU7ItgVF3Iv+3l4NHAUPioQ1SgUm4ETkHMl6g==" saltValue="FOPPiLfz5E9idhpMuBmDuw==" spinCount="100000" sheet="1" objects="1" scenarios="1"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62D8C1-1417-4832-B496-CC0B2A60D3E6}">
  <sheetPr codeName="List14"/>
  <dimension ref="A1:XFB11"/>
  <sheetViews>
    <sheetView workbookViewId="0">
      <pane ySplit="2" topLeftCell="A3" activePane="bottomLeft" state="frozen"/>
      <selection pane="bottomLeft" activeCell="D5" sqref="D5"/>
    </sheetView>
  </sheetViews>
  <sheetFormatPr defaultColWidth="0" defaultRowHeight="15" zeroHeight="1"/>
  <cols>
    <col min="1" max="1" width="3.28515625" style="204" customWidth="1"/>
    <col min="2" max="2" width="7" style="216" customWidth="1"/>
    <col min="3" max="3" width="53.85546875" style="256" bestFit="1" customWidth="1"/>
    <col min="4" max="4" width="12.85546875" style="204" customWidth="1"/>
    <col min="5" max="5" width="63.7109375" style="186" customWidth="1"/>
    <col min="6" max="6" width="11.85546875" style="186" customWidth="1"/>
    <col min="7" max="7" width="10.42578125" style="199" hidden="1"/>
    <col min="8" max="8" width="18.7109375" style="35" hidden="1"/>
    <col min="9" max="9" width="11" style="199" hidden="1"/>
    <col min="10" max="10" width="10.85546875" style="199" hidden="1"/>
    <col min="11" max="11" width="12.140625" style="199" hidden="1"/>
    <col min="12" max="12" width="26.28515625" style="199" hidden="1"/>
    <col min="13" max="13" width="10.42578125" style="199" hidden="1"/>
    <col min="14" max="14" width="11.7109375" style="199" hidden="1"/>
    <col min="15" max="15" width="8.5703125" style="322" hidden="1"/>
    <col min="16" max="18" width="0" style="22" hidden="1"/>
    <col min="19" max="16382" width="0" style="181" hidden="1"/>
    <col min="16383" max="16384" width="9.140625" style="204" hidden="1"/>
  </cols>
  <sheetData>
    <row r="1" spans="1:19" s="181" customFormat="1" ht="26.25" customHeight="1">
      <c r="B1" s="182" t="s">
        <v>780</v>
      </c>
      <c r="C1" s="183"/>
      <c r="D1" s="184"/>
      <c r="E1" s="641"/>
      <c r="F1" s="185"/>
      <c r="G1" s="185"/>
      <c r="H1" s="185"/>
      <c r="I1" s="185"/>
      <c r="J1" s="185"/>
      <c r="K1" s="198"/>
      <c r="L1" s="198"/>
      <c r="M1" s="199"/>
      <c r="N1" s="199"/>
      <c r="O1" s="322"/>
      <c r="P1" s="22"/>
      <c r="Q1" s="22"/>
      <c r="R1" s="22"/>
    </row>
    <row r="2" spans="1:19" s="181" customFormat="1" ht="20.100000000000001" customHeight="1">
      <c r="B2" s="188"/>
      <c r="C2" s="12"/>
      <c r="D2" s="190"/>
      <c r="E2" s="641"/>
      <c r="F2" s="185"/>
      <c r="G2" s="185"/>
      <c r="H2" s="185"/>
      <c r="I2" s="185"/>
      <c r="J2" s="185"/>
      <c r="K2" s="198"/>
      <c r="L2" s="198"/>
      <c r="M2" s="199"/>
      <c r="N2" s="199"/>
      <c r="O2" s="322"/>
      <c r="P2" s="22"/>
      <c r="Q2" s="22"/>
      <c r="R2" s="22"/>
    </row>
    <row r="3" spans="1:19" s="181" customFormat="1" ht="36" customHeight="1" thickBot="1">
      <c r="A3" s="336"/>
      <c r="B3" s="337" t="s">
        <v>265</v>
      </c>
      <c r="C3" s="338" t="s">
        <v>784</v>
      </c>
      <c r="D3" s="339"/>
      <c r="E3" s="340"/>
      <c r="F3" s="194"/>
      <c r="G3" s="323" t="s">
        <v>17</v>
      </c>
      <c r="H3" s="323" t="s">
        <v>18</v>
      </c>
      <c r="I3" s="323" t="s">
        <v>139</v>
      </c>
      <c r="J3" s="323" t="s">
        <v>229</v>
      </c>
      <c r="K3" s="323" t="s">
        <v>230</v>
      </c>
      <c r="L3" s="323" t="s">
        <v>251</v>
      </c>
      <c r="M3" s="323" t="s">
        <v>252</v>
      </c>
      <c r="N3" s="323" t="s">
        <v>19</v>
      </c>
      <c r="O3" s="323" t="s">
        <v>20</v>
      </c>
      <c r="P3" s="22"/>
      <c r="Q3" s="22"/>
      <c r="R3" s="22"/>
    </row>
    <row r="4" spans="1:19" s="187" customFormat="1" ht="36" customHeight="1" thickBot="1">
      <c r="A4" s="336"/>
      <c r="B4" s="341" t="s">
        <v>3</v>
      </c>
      <c r="C4" s="342" t="s">
        <v>381</v>
      </c>
      <c r="D4" s="343"/>
      <c r="E4" s="344" t="str" cm="1">
        <f t="array" ref="E4">IFERROR(INDEX(O4:S4,1,N4),"")</f>
        <v>Zadejte účinnost rekuperace.</v>
      </c>
      <c r="F4" s="238"/>
      <c r="G4" s="199" t="b">
        <v>1</v>
      </c>
      <c r="H4" s="145">
        <f t="shared" ref="H4:H5" si="0">G4*J4*D4</f>
        <v>0</v>
      </c>
      <c r="I4" s="198">
        <f t="shared" ref="I4:I5" si="1">IF(J4,ROW(D5),ROW())</f>
        <v>4</v>
      </c>
      <c r="J4" s="96" t="b">
        <f>AND(NOT(ISBLANK(D4)),IF(NOT(ISBLANK(D4)),AND(D4&gt;=0,D4&lt;=1)))</f>
        <v>0</v>
      </c>
      <c r="K4" s="198" t="b">
        <f>AND(NOT(ISBLANK(D4)),IF(NOT(ISBLANK(D4)),AND(D4&gt;=0,D4&lt;=1)))</f>
        <v>0</v>
      </c>
      <c r="L4" s="199" t="b">
        <f>AND(J4,H4&lt;MinEtaRekuperace)</f>
        <v>0</v>
      </c>
      <c r="M4" s="35" t="str">
        <f>"Nesplňuje požadavky na účinnost rekuperace tepla, účinnost musí být alespoň " &amp; MinEtaRekuperace*100 &amp; " %."</f>
        <v>Nesplňuje požadavky na účinnost rekuperace tepla, účinnost musí být alespoň 67 %.</v>
      </c>
      <c r="N4" s="145" cm="1">
        <f t="array" ref="N4">myidx(AND(J4,H4&gt;=MinEtaRekuperace),ISBLANK(D4),NOT(ISNUMBER(D4)),D4&lt;MinEtaRekuperace,OR(D4&lt;0,D4&gt;1))</f>
        <v>2</v>
      </c>
      <c r="O4" s="96" t="s">
        <v>21</v>
      </c>
      <c r="P4" s="35" t="s">
        <v>785</v>
      </c>
      <c r="Q4" s="35" t="s">
        <v>23</v>
      </c>
      <c r="R4" s="35" t="str">
        <f>"Nesplňuje požadavky na účinnost rekuperace, účinnost musí být alespoň " &amp; MinEtaRekuperace &amp; " %."</f>
        <v>Nesplňuje požadavky na účinnost rekuperace, účinnost musí být alespoň 0,67 %.</v>
      </c>
      <c r="S4" s="22" t="s">
        <v>786</v>
      </c>
    </row>
    <row r="5" spans="1:19" s="187" customFormat="1" ht="36" customHeight="1" thickBot="1">
      <c r="A5" s="345"/>
      <c r="B5" s="341" t="s">
        <v>6</v>
      </c>
      <c r="C5" s="342" t="s">
        <v>382</v>
      </c>
      <c r="D5" s="346"/>
      <c r="E5" s="344" t="str" cm="1">
        <f t="array" ref="E5">IFERROR(INDEX(O5:R5,1,N5),"")</f>
        <v>Zadejte větraný objem vzduchu.</v>
      </c>
      <c r="F5" s="238"/>
      <c r="G5" s="199" t="b">
        <f>AND(G4,K4)</f>
        <v>0</v>
      </c>
      <c r="H5" s="145">
        <f t="shared" si="0"/>
        <v>0</v>
      </c>
      <c r="I5" s="198">
        <f t="shared" si="1"/>
        <v>5</v>
      </c>
      <c r="J5" s="96" t="b">
        <f>AND(ISNUMBER(D5),IF(ISNUMBER(D5),D5&gt;0))</f>
        <v>0</v>
      </c>
      <c r="K5" s="198" t="b">
        <f t="shared" ref="K5:K6" si="2">AND(K4,J5)</f>
        <v>0</v>
      </c>
      <c r="L5" s="199"/>
      <c r="M5" s="199"/>
      <c r="N5" s="145" cm="1">
        <f t="array" ref="N5">myidx(J5,ISBLANK(D5),NOT(ISNUMBER(D5)),D5&lt;=0)</f>
        <v>2</v>
      </c>
      <c r="O5" s="96" t="s">
        <v>21</v>
      </c>
      <c r="P5" s="35" t="s">
        <v>781</v>
      </c>
      <c r="Q5" s="35" t="s">
        <v>23</v>
      </c>
      <c r="R5" s="35" t="s">
        <v>782</v>
      </c>
    </row>
    <row r="6" spans="1:19" s="187" customFormat="1" ht="36" hidden="1" customHeight="1" thickBot="1">
      <c r="A6" s="336"/>
      <c r="B6" s="341" t="s">
        <v>9</v>
      </c>
      <c r="C6" s="342" t="s">
        <v>383</v>
      </c>
      <c r="D6" s="346"/>
      <c r="E6" s="344" t="str" cm="1">
        <f t="array" ref="E6">IFERROR(INDEX(O6:Q6,1,N6),"")</f>
        <v>OK</v>
      </c>
      <c r="F6" s="198"/>
      <c r="G6" s="199" t="b">
        <f>AND(G5,K5,JePENB)</f>
        <v>0</v>
      </c>
      <c r="H6" s="96" t="str">
        <f>IF(AND(G6,J6),D6,"")</f>
        <v/>
      </c>
      <c r="I6" s="198">
        <f>ROW()</f>
        <v>6</v>
      </c>
      <c r="J6" s="145" t="b">
        <f>OR(D6=ano,D6=ne,NOT(JePENB))</f>
        <v>1</v>
      </c>
      <c r="K6" s="198" t="b">
        <f t="shared" si="2"/>
        <v>0</v>
      </c>
      <c r="L6" s="199"/>
      <c r="M6" s="199"/>
      <c r="N6" s="145" cm="1">
        <f t="array" ref="N6">myidx(J6,ISBLANK(D6))</f>
        <v>1</v>
      </c>
      <c r="O6" s="96" t="s">
        <v>21</v>
      </c>
      <c r="P6" s="96" t="s">
        <v>217</v>
      </c>
      <c r="Q6" s="96"/>
      <c r="R6" s="35"/>
    </row>
    <row r="7" spans="1:19" s="187" customFormat="1" ht="36" customHeight="1">
      <c r="A7" s="336"/>
      <c r="B7" s="347"/>
      <c r="C7" s="348"/>
      <c r="D7" s="349" t="str">
        <f>IF(K6=TRUE,"Konec formuláře","")</f>
        <v/>
      </c>
      <c r="E7" s="350"/>
      <c r="F7" s="186"/>
      <c r="G7" s="199" t="b">
        <v>1</v>
      </c>
      <c r="H7" s="185"/>
      <c r="I7" s="185"/>
      <c r="J7" s="185"/>
      <c r="K7" s="198"/>
      <c r="L7" s="199"/>
      <c r="M7" s="199"/>
      <c r="N7" s="199"/>
      <c r="O7" s="199"/>
      <c r="P7" s="35"/>
      <c r="Q7" s="35"/>
      <c r="R7" s="35"/>
    </row>
    <row r="8" spans="1:19" s="187" customFormat="1" ht="36" customHeight="1">
      <c r="A8" s="351"/>
      <c r="B8" s="352" t="s">
        <v>280</v>
      </c>
      <c r="C8" s="353" t="s">
        <v>787</v>
      </c>
      <c r="D8" s="354"/>
      <c r="E8" s="350"/>
      <c r="F8" s="186"/>
      <c r="G8" s="199" t="b">
        <f>K6</f>
        <v>0</v>
      </c>
      <c r="H8" s="185"/>
      <c r="I8" s="185"/>
      <c r="J8" s="185"/>
      <c r="K8" s="198"/>
      <c r="L8" s="199"/>
      <c r="M8" s="199"/>
      <c r="N8" s="199"/>
      <c r="O8" s="199"/>
      <c r="P8" s="35"/>
      <c r="Q8" s="35"/>
      <c r="R8" s="35"/>
    </row>
    <row r="9" spans="1:19" s="187" customFormat="1" ht="36" customHeight="1">
      <c r="A9" s="351"/>
      <c r="B9" s="352"/>
      <c r="C9" s="639" t="s">
        <v>788</v>
      </c>
      <c r="D9" s="639"/>
      <c r="E9" s="350"/>
      <c r="F9" s="186"/>
      <c r="G9" s="199" t="b">
        <f>AND(NOT(L4),K6)</f>
        <v>0</v>
      </c>
      <c r="H9" s="185"/>
      <c r="I9" s="185"/>
      <c r="J9" s="185"/>
      <c r="K9" s="198"/>
      <c r="L9" s="199"/>
      <c r="M9" s="199"/>
      <c r="N9" s="199"/>
      <c r="O9" s="199"/>
      <c r="P9" s="35"/>
      <c r="Q9" s="35"/>
      <c r="R9" s="35"/>
    </row>
    <row r="10" spans="1:19" s="199" customFormat="1" ht="36" hidden="1" customHeight="1">
      <c r="A10" s="181"/>
      <c r="B10" s="190"/>
      <c r="C10" s="640" t="str">
        <f>M4</f>
        <v>Nesplňuje požadavky na účinnost rekuperace tepla, účinnost musí být alespoň 67 %.</v>
      </c>
      <c r="D10" s="640"/>
      <c r="E10" s="186"/>
      <c r="F10" s="186"/>
      <c r="G10" s="199" t="b">
        <f>AND(L4,K6)</f>
        <v>0</v>
      </c>
      <c r="H10" s="35"/>
    </row>
    <row r="11" spans="1:19" s="199" customFormat="1" ht="36" customHeight="1">
      <c r="A11" s="173" t="s">
        <v>16</v>
      </c>
      <c r="B11" s="181"/>
      <c r="C11" s="240"/>
      <c r="D11" s="181"/>
      <c r="E11" s="186"/>
      <c r="F11" s="186"/>
      <c r="G11" s="199" t="b">
        <v>1</v>
      </c>
      <c r="H11" s="35"/>
    </row>
  </sheetData>
  <sheetProtection algorithmName="SHA-512" hashValue="oUdFpcy1bpsoFNW+W4VaTa8BZsQr50NJqVl3+18b3REaz8UkTmRAnnp3bbMcG59cvKW3hPdxo9TWhzFE87Okmg==" saltValue="mljXxobs9wvQmLSj9XYIfQ==" spinCount="100000" sheet="1" objects="1" scenarios="1"/>
  <mergeCells count="3">
    <mergeCell ref="C9:D9"/>
    <mergeCell ref="C10:D10"/>
    <mergeCell ref="E1:E2"/>
  </mergeCells>
  <conditionalFormatting sqref="E4:E6">
    <cfRule type="cellIs" dxfId="55" priority="4" operator="notEqual">
      <formula>"OK"</formula>
    </cfRule>
  </conditionalFormatting>
  <dataValidations count="2">
    <dataValidation type="list" allowBlank="1" showInputMessage="1" showErrorMessage="1" sqref="D6 C2:D2" xr:uid="{D1476F3F-9DDA-4247-9776-E0CB2D7BDC1D}">
      <formula1>"ano,ne"</formula1>
    </dataValidation>
    <dataValidation type="decimal" allowBlank="1" showInputMessage="1" showErrorMessage="1" prompt="0-100%" sqref="D4" xr:uid="{90A017A9-7587-431B-9C34-44B4950BFD0B}">
      <formula1>0</formula1>
      <formula2>1</formula2>
    </dataValidation>
  </dataValidations>
  <pageMargins left="0.7" right="0.7" top="0.78740157499999996" bottom="0.78740157499999996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4579" r:id="rId3" name="Button 3">
              <controlPr defaultSize="0" print="0" autoFill="0" autoPict="0" macro="[0]!GoHome">
                <anchor moveWithCells="1" sizeWithCells="1">
                  <from>
                    <xdr:col>2</xdr:col>
                    <xdr:colOff>1590675</xdr:colOff>
                    <xdr:row>0</xdr:row>
                    <xdr:rowOff>114300</xdr:rowOff>
                  </from>
                  <to>
                    <xdr:col>2</xdr:col>
                    <xdr:colOff>2847975</xdr:colOff>
                    <xdr:row>1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580" r:id="rId4" name="Button 4">
              <controlPr defaultSize="0" print="0" autoFill="0" autoPict="0" macro="[0]!List14.ResetMe">
                <anchor moveWithCells="1" sizeWithCells="1">
                  <from>
                    <xdr:col>2</xdr:col>
                    <xdr:colOff>3343275</xdr:colOff>
                    <xdr:row>0</xdr:row>
                    <xdr:rowOff>114300</xdr:rowOff>
                  </from>
                  <to>
                    <xdr:col>3</xdr:col>
                    <xdr:colOff>828675</xdr:colOff>
                    <xdr:row>1</xdr:row>
                    <xdr:rowOff>142875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DCA7F2-C1E8-4B42-868E-35F34D7A072F}">
  <sheetPr codeName="List2"/>
  <dimension ref="A1:T56"/>
  <sheetViews>
    <sheetView workbookViewId="0">
      <pane ySplit="2" topLeftCell="A3" activePane="bottomLeft" state="frozen"/>
      <selection pane="bottomLeft" activeCell="E10" sqref="E10"/>
    </sheetView>
  </sheetViews>
  <sheetFormatPr defaultColWidth="0" defaultRowHeight="15" zeroHeight="1"/>
  <cols>
    <col min="1" max="1" width="3.28515625" customWidth="1"/>
    <col min="2" max="2" width="9.140625" customWidth="1"/>
    <col min="3" max="3" width="47.28515625" customWidth="1"/>
    <col min="4" max="4" width="18.140625" customWidth="1"/>
    <col min="5" max="5" width="18.7109375" customWidth="1"/>
    <col min="6" max="6" width="50.42578125" customWidth="1"/>
    <col min="7" max="7" width="3.7109375" style="32" customWidth="1"/>
    <col min="8" max="8" width="10.42578125" style="32" hidden="1" customWidth="1"/>
    <col min="9" max="9" width="14.42578125" style="32" hidden="1" customWidth="1"/>
    <col min="10" max="10" width="11" style="32" hidden="1" customWidth="1"/>
    <col min="11" max="11" width="10.85546875" style="32" hidden="1" customWidth="1"/>
    <col min="12" max="14" width="12" style="32" hidden="1" customWidth="1"/>
    <col min="15" max="15" width="9.140625" style="32" hidden="1" customWidth="1"/>
    <col min="16" max="16" width="8.5703125" style="32" hidden="1" customWidth="1"/>
    <col min="17" max="17" width="24" style="32" hidden="1" customWidth="1"/>
    <col min="18" max="20" width="9" hidden="1" customWidth="1"/>
    <col min="21" max="16384" width="9.140625" hidden="1"/>
  </cols>
  <sheetData>
    <row r="1" spans="1:20" s="14" customFormat="1" ht="26.1" customHeight="1">
      <c r="A1" s="550"/>
      <c r="B1" s="15" t="s">
        <v>35</v>
      </c>
      <c r="D1" s="16"/>
      <c r="G1" s="642"/>
      <c r="H1" s="17"/>
      <c r="I1" s="17"/>
      <c r="J1" s="17"/>
      <c r="K1" s="17"/>
      <c r="L1" s="17"/>
      <c r="M1" s="17"/>
      <c r="N1" s="17"/>
      <c r="O1" s="17"/>
      <c r="P1" s="17"/>
      <c r="Q1" s="17"/>
    </row>
    <row r="2" spans="1:20" s="14" customFormat="1" ht="20.100000000000001" customHeight="1" thickBot="1">
      <c r="A2" s="550"/>
      <c r="B2" s="18"/>
      <c r="C2" s="18"/>
      <c r="D2" s="19"/>
      <c r="E2" s="18"/>
      <c r="F2" s="18"/>
      <c r="G2" s="641"/>
      <c r="H2" s="17"/>
      <c r="I2" s="17"/>
      <c r="J2" s="17"/>
      <c r="K2" s="17"/>
      <c r="L2" s="17"/>
      <c r="M2" s="17"/>
      <c r="N2" s="17"/>
      <c r="O2" s="17"/>
      <c r="P2" s="17"/>
      <c r="Q2" s="17"/>
    </row>
    <row r="3" spans="1:20" ht="35.450000000000003" customHeight="1" thickBot="1">
      <c r="A3" s="20"/>
      <c r="B3" s="46" t="s">
        <v>36</v>
      </c>
      <c r="C3" s="47" t="s">
        <v>37</v>
      </c>
      <c r="D3" s="21"/>
      <c r="E3" s="48"/>
      <c r="F3" s="22"/>
      <c r="G3" s="641"/>
      <c r="H3" s="35" t="s">
        <v>17</v>
      </c>
      <c r="I3" s="35" t="s">
        <v>18</v>
      </c>
      <c r="J3" s="35" t="s">
        <v>139</v>
      </c>
      <c r="K3" s="153" t="s">
        <v>229</v>
      </c>
      <c r="L3" s="153" t="s">
        <v>230</v>
      </c>
      <c r="M3" s="153" t="s">
        <v>251</v>
      </c>
      <c r="N3" s="153" t="s">
        <v>252</v>
      </c>
      <c r="O3" s="35" t="s">
        <v>19</v>
      </c>
      <c r="P3" s="35" t="s">
        <v>20</v>
      </c>
      <c r="Q3" s="23"/>
      <c r="R3" s="20"/>
      <c r="S3" s="20"/>
      <c r="T3" s="20"/>
    </row>
    <row r="4" spans="1:20" ht="35.450000000000003" customHeight="1" thickBot="1">
      <c r="A4" s="20"/>
      <c r="B4" s="25" t="s">
        <v>3</v>
      </c>
      <c r="C4" s="26" t="s">
        <v>39</v>
      </c>
      <c r="D4" s="27" t="s">
        <v>11</v>
      </c>
      <c r="E4" s="33"/>
      <c r="F4" s="28" t="str" cm="1">
        <f t="array" ref="F4">IFERROR(INDEX(P4:Q4,1,O4),"")</f>
        <v>Vyberte ano nebo ne.</v>
      </c>
      <c r="G4" s="23"/>
      <c r="H4" s="23" t="b">
        <v>1</v>
      </c>
      <c r="I4" s="1" t="str">
        <f>IF(AND(H4,K4,L4),E4,"")</f>
        <v/>
      </c>
      <c r="J4" s="1">
        <f>IF(K4,IF(E4=ano,ROW(E5),ROW(E10)),ROW())</f>
        <v>4</v>
      </c>
      <c r="K4" s="1" t="b">
        <f>OR(E4=ano,E4=ne)</f>
        <v>0</v>
      </c>
      <c r="L4" s="1" t="b">
        <f>K4</f>
        <v>0</v>
      </c>
      <c r="M4" s="1"/>
      <c r="N4" s="1"/>
      <c r="O4" s="1" cm="1">
        <f t="array" ref="O4">myidx(AND(K4,L4),AND(E4&lt;&gt;ano,E4&lt;&gt;ne),NOT(L4))</f>
        <v>2</v>
      </c>
      <c r="P4" s="1" t="s">
        <v>21</v>
      </c>
      <c r="Q4" s="1" t="s">
        <v>217</v>
      </c>
      <c r="R4" s="20"/>
      <c r="S4" s="20"/>
      <c r="T4" s="20"/>
    </row>
    <row r="5" spans="1:20" ht="35.450000000000003" hidden="1" customHeight="1" thickBot="1">
      <c r="A5" s="20"/>
      <c r="B5" s="29" t="s">
        <v>38</v>
      </c>
      <c r="C5" s="30" t="s">
        <v>41</v>
      </c>
      <c r="D5" s="27"/>
      <c r="E5" s="31"/>
      <c r="F5" s="11" t="str" cm="1">
        <f t="array" ref="F5">IFERROR(INDEX(P5:S5,1,O5),"")</f>
        <v>Zadejte jejich počet.</v>
      </c>
      <c r="H5" s="23" t="b">
        <f>E4=ano</f>
        <v>0</v>
      </c>
      <c r="I5" s="1">
        <f>E5*H5*K5*L5</f>
        <v>0</v>
      </c>
      <c r="J5" s="1">
        <f>IF(K5,ROW(E6),ROW())</f>
        <v>5</v>
      </c>
      <c r="K5" s="1" t="b">
        <f>AND(ISNUMBER(E5),IF(ISNUMBER(E5),E5&gt;0,FALSE))</f>
        <v>0</v>
      </c>
      <c r="L5" s="1" t="b">
        <f>K5</f>
        <v>0</v>
      </c>
      <c r="M5" s="1"/>
      <c r="N5" s="1"/>
      <c r="O5" s="1" cm="1">
        <f t="array" ref="O5">myidx(K5,ISBLANK(E5),NOT(ISNUMBER(E5)),E5&lt;=0)</f>
        <v>2</v>
      </c>
      <c r="P5" s="1" t="s">
        <v>21</v>
      </c>
      <c r="Q5" s="1" t="s">
        <v>101</v>
      </c>
      <c r="R5" s="1" t="s">
        <v>23</v>
      </c>
      <c r="S5" s="1" t="s">
        <v>102</v>
      </c>
      <c r="T5" s="20"/>
    </row>
    <row r="6" spans="1:20" ht="35.450000000000003" hidden="1" customHeight="1" thickBot="1">
      <c r="A6" s="20"/>
      <c r="B6" s="29" t="s">
        <v>40</v>
      </c>
      <c r="C6" s="30" t="s">
        <v>43</v>
      </c>
      <c r="D6" s="27" t="s">
        <v>11</v>
      </c>
      <c r="E6" s="33"/>
      <c r="F6" s="11" t="str" cm="1">
        <f t="array" ref="F6">IFERROR(INDEX(P6:Q6,1,O6),"")</f>
        <v>Vyberte ano nebo ne.</v>
      </c>
      <c r="G6" s="23"/>
      <c r="H6" s="23" t="b">
        <f>AND(H5,K5,L5)</f>
        <v>0</v>
      </c>
      <c r="I6" s="1" t="str">
        <f>IF(AND(H6,K6,L6),E6,"")</f>
        <v/>
      </c>
      <c r="J6" s="1">
        <f>IF(K6,IF(E6=ano,ROW(E7),ROW(E8)),ROW())</f>
        <v>6</v>
      </c>
      <c r="K6" s="1" t="b">
        <f>OR(E6=ano,E6=ne)</f>
        <v>0</v>
      </c>
      <c r="L6" s="1" t="b">
        <f>K6</f>
        <v>0</v>
      </c>
      <c r="M6" s="1"/>
      <c r="N6" s="1"/>
      <c r="O6" s="1" cm="1">
        <f t="array" ref="O6">myidx(AND(K6,L6),AND(E6&lt;&gt;ano,E6&lt;&gt;ne),NOT(L6))</f>
        <v>2</v>
      </c>
      <c r="P6" s="1" t="s">
        <v>21</v>
      </c>
      <c r="Q6" s="1" t="s">
        <v>217</v>
      </c>
      <c r="R6" s="20"/>
      <c r="S6" s="20"/>
      <c r="T6" s="20"/>
    </row>
    <row r="7" spans="1:20" ht="35.450000000000003" hidden="1" customHeight="1" thickBot="1">
      <c r="A7" s="20"/>
      <c r="B7" s="29" t="s">
        <v>42</v>
      </c>
      <c r="C7" s="34" t="s">
        <v>45</v>
      </c>
      <c r="D7" s="27" t="s">
        <v>46</v>
      </c>
      <c r="E7" s="31"/>
      <c r="F7" s="11" t="str" cm="1">
        <f t="array" ref="F7">IFERROR(INDEX(P7:T7,1,O7),"")</f>
        <v>Zadejte celkový příkon klasických žárovek.</v>
      </c>
      <c r="G7" s="23"/>
      <c r="H7" s="23" t="b">
        <f>AND(E6=ano,H6,K6,L6)</f>
        <v>0</v>
      </c>
      <c r="I7" s="1">
        <f>E7*H7*K7*L7</f>
        <v>0</v>
      </c>
      <c r="J7" s="1">
        <f>IF(K7,ROW(E10),ROW())</f>
        <v>7</v>
      </c>
      <c r="K7" s="1" t="b">
        <f>IFERROR(AND(ISNUMBER(E7),IF(ISNUMBER(E7),AND(E7/E5&gt;=ŽárovkaMin,E7/E5&lt;=ŽárovkaMax),FALSE)),FALSE)</f>
        <v>0</v>
      </c>
      <c r="L7" s="1" t="b">
        <f>K7</f>
        <v>0</v>
      </c>
      <c r="M7" s="1"/>
      <c r="N7" s="1"/>
      <c r="O7" s="1" cm="1">
        <f t="array" ref="O7">myidx(K7,ISBLANK(E7),NOT(ISNUMBER(E7)),E7/E5 &lt; ŽárovkaMin, E7/E5 &gt; ŽárovkaMax)</f>
        <v>2</v>
      </c>
      <c r="P7" s="1" t="s">
        <v>21</v>
      </c>
      <c r="Q7" s="1" t="s">
        <v>130</v>
      </c>
      <c r="R7" s="1" t="s">
        <v>23</v>
      </c>
      <c r="S7" s="1" t="str">
        <f>"Příliš malý příkon, průměrný příkon klasické žárovky musí být alespoň " &amp; ŽárovkaMin &amp; " W."</f>
        <v>Příliš malý příkon, průměrný příkon klasické žárovky musí být alespoň 40 W.</v>
      </c>
      <c r="T7" s="1" t="str">
        <f>"Příliš velký příkon, průměrný příkon klasické žárovky může být nejvíce " &amp; ŽárovkaMax &amp; " W."</f>
        <v>Příliš velký příkon, průměrný příkon klasické žárovky může být nejvíce 1000 W.</v>
      </c>
    </row>
    <row r="8" spans="1:20" ht="35.450000000000003" hidden="1" customHeight="1" thickBot="1">
      <c r="A8" s="20"/>
      <c r="B8" s="29" t="s">
        <v>44</v>
      </c>
      <c r="C8" s="30" t="s">
        <v>47</v>
      </c>
      <c r="D8" s="27" t="s">
        <v>46</v>
      </c>
      <c r="E8" s="31"/>
      <c r="F8" s="11" t="str" cm="1">
        <f t="array" ref="F8">IFERROR(INDEX(P8:T8,1,O8),"")</f>
        <v>Zadejte průměrný příkon klasických žárovek.</v>
      </c>
      <c r="H8" s="23" t="b">
        <f>AND(E6=ne,H6,K6,L6)</f>
        <v>0</v>
      </c>
      <c r="I8" s="1">
        <f>E8*H8*K8*L8</f>
        <v>0</v>
      </c>
      <c r="J8" s="1">
        <f>IF(K8,ROW(E10),ROW())</f>
        <v>8</v>
      </c>
      <c r="K8" s="1" t="b">
        <f>IFERROR(AND(ISNUMBER(E8),IF(ISNUMBER(E8),AND(E8&gt;=ŽárovkaMin,E8&lt;=ŽárovkaMax),FALSE)),FALSE)</f>
        <v>0</v>
      </c>
      <c r="L8" s="1" t="b">
        <f>K8</f>
        <v>0</v>
      </c>
      <c r="M8" s="1"/>
      <c r="N8" s="1"/>
      <c r="O8" s="1" cm="1">
        <f t="array" ref="O8">myidx(K8,ISBLANK(E8),NOT(ISNUMBER(E8)),E8 &lt; ŽárovkaMin, E8 &gt; ŽárovkaMax)</f>
        <v>2</v>
      </c>
      <c r="P8" s="1" t="s">
        <v>21</v>
      </c>
      <c r="Q8" s="1" t="s">
        <v>137</v>
      </c>
      <c r="R8" s="1" t="s">
        <v>23</v>
      </c>
      <c r="S8" s="1" t="str">
        <f>"Příliš malý příkon, průměrný příkon žárovky musí být alespoň " &amp; ŽárovkaMin &amp; " W."</f>
        <v>Příliš malý příkon, průměrný příkon žárovky musí být alespoň 40 W.</v>
      </c>
      <c r="T8" s="1" t="str">
        <f>"Příliš velký příkon, průměrný příkon žárovky může být nejvíce " &amp; ŽárovkaMax &amp; " W."</f>
        <v>Příliš velký příkon, průměrný příkon žárovky může být nejvíce 1000 W.</v>
      </c>
    </row>
    <row r="9" spans="1:20" ht="13.9" customHeight="1" thickBot="1">
      <c r="A9" s="20"/>
      <c r="B9" s="36"/>
      <c r="C9" s="37"/>
      <c r="D9" s="38"/>
      <c r="E9" s="39"/>
      <c r="F9" s="35"/>
      <c r="G9" s="23"/>
      <c r="H9" s="23" t="b">
        <v>1</v>
      </c>
      <c r="I9" s="23"/>
      <c r="J9" s="23"/>
      <c r="K9" s="83" t="b">
        <f>OR(E4=ne,AND(K4,K5,E6=ano,K7),AND(K4,K5,E6=ne,K8))</f>
        <v>0</v>
      </c>
      <c r="L9" s="83">
        <f>IFERROR(K9*(I8+I7/I5),0)</f>
        <v>0</v>
      </c>
      <c r="M9" s="83"/>
      <c r="N9" s="83"/>
      <c r="O9" s="83">
        <f>IFERROR(SIGN(L9)*E5*VLOOKUP(L9,TOsvětlení[[klasika]:[příkon led]],6,1),0)</f>
        <v>0</v>
      </c>
      <c r="P9" s="23"/>
      <c r="Q9" s="23"/>
      <c r="R9" s="20"/>
      <c r="S9" s="20"/>
      <c r="T9" s="20"/>
    </row>
    <row r="10" spans="1:20" ht="35.450000000000003" customHeight="1" thickBot="1">
      <c r="A10" s="20"/>
      <c r="B10" s="25" t="s">
        <v>6</v>
      </c>
      <c r="C10" s="26" t="s">
        <v>49</v>
      </c>
      <c r="D10" s="27" t="s">
        <v>11</v>
      </c>
      <c r="E10" s="33"/>
      <c r="F10" s="28" t="str" cm="1">
        <f t="array" ref="F10">IFERROR(INDEX(P10:Q10,1,O10),"")</f>
        <v>Vyberte ano nebo ne.</v>
      </c>
      <c r="G10" s="23"/>
      <c r="H10" s="23" t="b">
        <v>1</v>
      </c>
      <c r="I10" s="1" t="str">
        <f>IF(AND(H10,K10,L10),E10,"")</f>
        <v/>
      </c>
      <c r="J10" s="1">
        <f>IF(K10,IF(E10=ano,ROW(E11),ROW(E16)),ROW())</f>
        <v>10</v>
      </c>
      <c r="K10" s="1" t="b">
        <f>OR(E10=ano,E10=ne)</f>
        <v>0</v>
      </c>
      <c r="L10" s="1" t="b">
        <f>K10</f>
        <v>0</v>
      </c>
      <c r="M10" s="1"/>
      <c r="N10" s="1"/>
      <c r="O10" s="1" cm="1">
        <f t="array" ref="O10">myidx(AND(K10,L10),AND(E10&lt;&gt;ano,E10&lt;&gt;ne),NOT(L10))</f>
        <v>2</v>
      </c>
      <c r="P10" s="1" t="s">
        <v>21</v>
      </c>
      <c r="Q10" s="1" t="s">
        <v>217</v>
      </c>
      <c r="R10" s="20"/>
      <c r="S10" s="20"/>
      <c r="T10" s="20"/>
    </row>
    <row r="11" spans="1:20" ht="35.450000000000003" hidden="1" customHeight="1" thickBot="1">
      <c r="A11" s="20"/>
      <c r="B11" s="29" t="s">
        <v>48</v>
      </c>
      <c r="C11" s="26" t="s">
        <v>41</v>
      </c>
      <c r="D11" s="27"/>
      <c r="E11" s="31"/>
      <c r="F11" s="11" t="str" cm="1">
        <f t="array" ref="F11">IFERROR(INDEX(P11:S11,1,O11),"")</f>
        <v>Zadejte jejich počet.</v>
      </c>
      <c r="H11" s="23" t="b">
        <f>E10=ano</f>
        <v>0</v>
      </c>
      <c r="I11" s="1">
        <f>E11*H11*K11*L11</f>
        <v>0</v>
      </c>
      <c r="J11" s="1">
        <f>IF(K11,ROW(E12),ROW())</f>
        <v>11</v>
      </c>
      <c r="K11" s="1" t="b">
        <f>AND(ISNUMBER(E11),IF(ISNUMBER(E11),E11&gt;0,FALSE))</f>
        <v>0</v>
      </c>
      <c r="L11" s="1" t="b">
        <f>K11</f>
        <v>0</v>
      </c>
      <c r="M11" s="1"/>
      <c r="N11" s="1"/>
      <c r="O11" s="1" cm="1">
        <f t="array" ref="O11">myidx(K11,ISBLANK(E11),NOT(ISNUMBER(E11)),E11&lt;=0)</f>
        <v>2</v>
      </c>
      <c r="P11" s="1" t="s">
        <v>21</v>
      </c>
      <c r="Q11" s="1" t="s">
        <v>101</v>
      </c>
      <c r="R11" s="1" t="s">
        <v>23</v>
      </c>
      <c r="S11" s="1" t="s">
        <v>102</v>
      </c>
      <c r="T11" s="20"/>
    </row>
    <row r="12" spans="1:20" ht="35.450000000000003" hidden="1" customHeight="1" thickBot="1">
      <c r="A12" s="20"/>
      <c r="B12" s="29" t="s">
        <v>50</v>
      </c>
      <c r="C12" s="30" t="s">
        <v>52</v>
      </c>
      <c r="D12" s="27" t="s">
        <v>11</v>
      </c>
      <c r="E12" s="33"/>
      <c r="F12" s="11" t="str" cm="1">
        <f t="array" ref="F12">IFERROR(INDEX(P12:Q12,1,O12),"")</f>
        <v>Vyberte ano nebo ne.</v>
      </c>
      <c r="G12" s="23"/>
      <c r="H12" s="23" t="b">
        <f>AND(H11,K11,L11)</f>
        <v>0</v>
      </c>
      <c r="I12" s="1" t="str">
        <f>IF(AND(H12,K12,L12),E12,"")</f>
        <v/>
      </c>
      <c r="J12" s="1">
        <f>IF(K12,IF(E12=ano,ROW(E13),ROW(E14)),ROW())</f>
        <v>12</v>
      </c>
      <c r="K12" s="1" t="b">
        <f>OR(E12=ano,E12=ne)</f>
        <v>0</v>
      </c>
      <c r="L12" s="1" t="b">
        <f>K12</f>
        <v>0</v>
      </c>
      <c r="M12" s="1"/>
      <c r="N12" s="1"/>
      <c r="O12" s="1" cm="1">
        <f t="array" ref="O12">myidx(AND(K12,L12),AND(E12&lt;&gt;ano,E12&lt;&gt;ne),NOT(L12))</f>
        <v>2</v>
      </c>
      <c r="P12" s="1" t="s">
        <v>21</v>
      </c>
      <c r="Q12" s="1" t="s">
        <v>217</v>
      </c>
      <c r="R12" s="20"/>
      <c r="S12" s="20"/>
      <c r="T12" s="20"/>
    </row>
    <row r="13" spans="1:20" ht="35.450000000000003" hidden="1" customHeight="1" thickBot="1">
      <c r="A13" s="20"/>
      <c r="B13" s="29" t="s">
        <v>51</v>
      </c>
      <c r="C13" s="34" t="s">
        <v>45</v>
      </c>
      <c r="D13" s="27" t="s">
        <v>46</v>
      </c>
      <c r="E13" s="31"/>
      <c r="F13" s="11" t="str" cm="1">
        <f t="array" ref="F13">IFERROR(INDEX(P13:T13,1,O13),"")</f>
        <v>Zadejte celkový příkon hlogenových žárovek.</v>
      </c>
      <c r="G13" s="23"/>
      <c r="H13" s="23" t="b">
        <f>AND(E12=ano,H12,K12,L12)</f>
        <v>0</v>
      </c>
      <c r="I13" s="1">
        <f>E13*H13*K13*L13</f>
        <v>0</v>
      </c>
      <c r="J13" s="1">
        <f>IF(K13,ROW(E16),ROW())</f>
        <v>13</v>
      </c>
      <c r="K13" s="1" t="b">
        <f>IFERROR(AND(ISNUMBER(E13),IF(ISNUMBER(E13),AND(E13/E11&gt;=HalogenMin,E13/E11&lt;=HalogenMax),FALSE)),FALSE)</f>
        <v>0</v>
      </c>
      <c r="L13" s="1" t="b">
        <f>K13</f>
        <v>0</v>
      </c>
      <c r="M13" s="1"/>
      <c r="N13" s="1"/>
      <c r="O13" s="1" cm="1">
        <f t="array" ref="O13">myidx(K13,ISBLANK(E13),NOT(ISNUMBER(E13)),E13/E11 &lt; HalogenMin, E13/E11 &gt; HalogenMax)</f>
        <v>2</v>
      </c>
      <c r="P13" s="1" t="s">
        <v>21</v>
      </c>
      <c r="Q13" s="1" t="s">
        <v>129</v>
      </c>
      <c r="R13" s="1" t="s">
        <v>23</v>
      </c>
      <c r="S13" s="1" t="str">
        <f>"Příliš malý příkon, průměrný příkon halogenové žárovky musí být alespoň " &amp; HalogenMin &amp; " W."</f>
        <v>Příliš malý příkon, průměrný příkon halogenové žárovky musí být alespoň 30 W.</v>
      </c>
      <c r="T13" s="1" t="str">
        <f>"Příliš velký příkon, průměrný příkon halogenové žárovky může být nejvíce " &amp; HalogenMax &amp; " W."</f>
        <v>Příliš velký příkon, průměrný příkon halogenové žárovky může být nejvíce 500 W.</v>
      </c>
    </row>
    <row r="14" spans="1:20" ht="35.450000000000003" hidden="1" customHeight="1" thickBot="1">
      <c r="A14" s="20"/>
      <c r="B14" s="29" t="s">
        <v>53</v>
      </c>
      <c r="C14" s="30" t="s">
        <v>54</v>
      </c>
      <c r="D14" s="27" t="s">
        <v>46</v>
      </c>
      <c r="E14" s="33"/>
      <c r="F14" s="11" t="str" cm="1">
        <f t="array" ref="F14">IFERROR(INDEX(P14:T14,1,O14),"")</f>
        <v>Zadejte průměrný příkon halogenových žárovek.</v>
      </c>
      <c r="H14" s="23" t="b">
        <f>AND(E12=ne,H12,K12,L12)</f>
        <v>0</v>
      </c>
      <c r="I14" s="1">
        <f>E14*H14*K14*L14</f>
        <v>0</v>
      </c>
      <c r="J14" s="1">
        <f>IF(K14,ROW(E16),ROW())</f>
        <v>14</v>
      </c>
      <c r="K14" s="1" t="b">
        <f>IFERROR(AND(ISNUMBER(E14),IF(ISNUMBER(E14),AND(E14&gt;=HalogenMin,E14&lt;=HalogenMax),FALSE)),FALSE)</f>
        <v>0</v>
      </c>
      <c r="L14" s="1" t="b">
        <f>K14</f>
        <v>0</v>
      </c>
      <c r="M14" s="1"/>
      <c r="N14" s="1"/>
      <c r="O14" s="1" cm="1">
        <f t="array" ref="O14">myidx(K14,ISBLANK(E14),NOT(ISNUMBER(E14)),E14 &lt; HalogenMin, E14 &gt; HalogenMax)</f>
        <v>2</v>
      </c>
      <c r="P14" s="1" t="s">
        <v>21</v>
      </c>
      <c r="Q14" s="1" t="s">
        <v>128</v>
      </c>
      <c r="R14" s="1" t="s">
        <v>23</v>
      </c>
      <c r="S14" s="1" t="str">
        <f>"Příliš malý příkon, průměrný příkon halogenové žárovky musí být alespoň " &amp; HalogenMin &amp; " W."</f>
        <v>Příliš malý příkon, průměrný příkon halogenové žárovky musí být alespoň 30 W.</v>
      </c>
      <c r="T14" s="1" t="str">
        <f>"Příliš velký příkon, průměrný příkon halogenové žárovky může být nejvíce " &amp; HalogenMax &amp; " W."</f>
        <v>Příliš velký příkon, průměrný příkon halogenové žárovky může být nejvíce 500 W.</v>
      </c>
    </row>
    <row r="15" spans="1:20" ht="13.9" customHeight="1" thickBot="1">
      <c r="A15" s="20"/>
      <c r="B15" s="40"/>
      <c r="C15" s="41"/>
      <c r="D15" s="42"/>
      <c r="E15" s="43"/>
      <c r="F15" s="22"/>
      <c r="G15" s="23"/>
      <c r="H15" s="23" t="b">
        <v>1</v>
      </c>
      <c r="I15" s="23"/>
      <c r="J15" s="23"/>
      <c r="K15" s="83" t="b">
        <f>OR(E10=ne,AND(K10,K11,E12=ano,K13),AND(K10,K11,E12=ne,K14))</f>
        <v>0</v>
      </c>
      <c r="L15" s="83">
        <f>IFERROR(K15*(I14+I13/I11),0)</f>
        <v>0</v>
      </c>
      <c r="M15" s="83"/>
      <c r="N15" s="83"/>
      <c r="O15" s="83">
        <f>IFERROR(SIGN(L15)*E11*VLOOKUP(L15,TOsvětlení[[halogen]:[příkon led]],5,1),0)</f>
        <v>0</v>
      </c>
      <c r="P15" s="23"/>
      <c r="Q15" s="23"/>
      <c r="R15" s="20"/>
      <c r="S15" s="20"/>
      <c r="T15" s="20"/>
    </row>
    <row r="16" spans="1:20" ht="35.450000000000003" customHeight="1" thickBot="1">
      <c r="A16" s="20"/>
      <c r="B16" s="25" t="s">
        <v>9</v>
      </c>
      <c r="C16" s="26" t="s">
        <v>56</v>
      </c>
      <c r="D16" s="27" t="s">
        <v>11</v>
      </c>
      <c r="E16" s="33"/>
      <c r="F16" s="28" t="str" cm="1">
        <f t="array" ref="F16">IFERROR(INDEX(P16:Q16,1,O16),"")</f>
        <v>Vyberte ano nebo ne.</v>
      </c>
      <c r="G16" s="23"/>
      <c r="H16" s="23" t="b">
        <v>1</v>
      </c>
      <c r="I16" s="1" t="str">
        <f>IF(AND(H16,K16,L16),E16,"")</f>
        <v/>
      </c>
      <c r="J16" s="1">
        <f>IF(K16,IF(E16=ano,ROW(E17),ROW(E22)),ROW())</f>
        <v>16</v>
      </c>
      <c r="K16" s="1" t="b">
        <f>OR(E16=ano,E16=ne)</f>
        <v>0</v>
      </c>
      <c r="L16" s="1" t="b">
        <f>K16</f>
        <v>0</v>
      </c>
      <c r="M16" s="1"/>
      <c r="N16" s="1"/>
      <c r="O16" s="1" cm="1">
        <f t="array" ref="O16">myidx(AND(K16,L16),AND(E16&lt;&gt;ano,E16&lt;&gt;ne),NOT(L16))</f>
        <v>2</v>
      </c>
      <c r="P16" s="1" t="s">
        <v>21</v>
      </c>
      <c r="Q16" s="1" t="s">
        <v>217</v>
      </c>
      <c r="R16" s="20"/>
      <c r="S16" s="20"/>
      <c r="T16" s="20"/>
    </row>
    <row r="17" spans="1:20" ht="35.450000000000003" hidden="1" customHeight="1" thickBot="1">
      <c r="A17" s="20"/>
      <c r="B17" s="29" t="s">
        <v>55</v>
      </c>
      <c r="C17" s="26" t="s">
        <v>41</v>
      </c>
      <c r="D17" s="27"/>
      <c r="E17" s="31"/>
      <c r="F17" s="11" t="str" cm="1">
        <f t="array" ref="F17">IFERROR(INDEX(P17:S17,1,O17),"")</f>
        <v>Zadejte jejich počet.</v>
      </c>
      <c r="H17" s="23" t="b">
        <f>E16=ano</f>
        <v>0</v>
      </c>
      <c r="I17" s="1">
        <f>E17*H17*K17*L17</f>
        <v>0</v>
      </c>
      <c r="J17" s="1">
        <f>IF(K17,ROW(E18),ROW())</f>
        <v>17</v>
      </c>
      <c r="K17" s="1" t="b">
        <f>AND(ISNUMBER(E17),IF(ISNUMBER(E17),E17&gt;0,FALSE))</f>
        <v>0</v>
      </c>
      <c r="L17" s="1" t="b">
        <f>K17</f>
        <v>0</v>
      </c>
      <c r="M17" s="1"/>
      <c r="N17" s="1"/>
      <c r="O17" s="1" cm="1">
        <f t="array" ref="O17">myidx(K17,ISBLANK(E17),NOT(ISNUMBER(E17)),E17&lt;=0)</f>
        <v>2</v>
      </c>
      <c r="P17" s="1" t="s">
        <v>21</v>
      </c>
      <c r="Q17" s="1" t="s">
        <v>101</v>
      </c>
      <c r="R17" s="1" t="s">
        <v>23</v>
      </c>
      <c r="S17" s="1" t="s">
        <v>102</v>
      </c>
      <c r="T17" s="20"/>
    </row>
    <row r="18" spans="1:20" ht="35.450000000000003" hidden="1" customHeight="1" thickBot="1">
      <c r="A18" s="20"/>
      <c r="B18" s="29" t="s">
        <v>57</v>
      </c>
      <c r="C18" s="30" t="s">
        <v>59</v>
      </c>
      <c r="D18" s="27" t="s">
        <v>11</v>
      </c>
      <c r="E18" s="33"/>
      <c r="F18" s="11" t="str" cm="1">
        <f t="array" ref="F18">IFERROR(INDEX(P18:Q18,1,O18),"")</f>
        <v>Vyberte ano nebo ne.</v>
      </c>
      <c r="G18" s="23"/>
      <c r="H18" s="23" t="b">
        <f>AND(H17,K17,L17)</f>
        <v>0</v>
      </c>
      <c r="I18" s="1" t="str">
        <f>IF(AND(H18,K18,L18),E18,"")</f>
        <v/>
      </c>
      <c r="J18" s="1">
        <f>IF(K18,IF(E18=ano,ROW(E19),ROW(E20)),ROW())</f>
        <v>18</v>
      </c>
      <c r="K18" s="1" t="b">
        <f>OR(E18=ano,E18=ne)</f>
        <v>0</v>
      </c>
      <c r="L18" s="1" t="b">
        <f>K18</f>
        <v>0</v>
      </c>
      <c r="M18" s="1"/>
      <c r="N18" s="1"/>
      <c r="O18" s="1" cm="1">
        <f t="array" ref="O18">myidx(AND(K18,L18),AND(E18&lt;&gt;ano,E18&lt;&gt;ne),NOT(L18))</f>
        <v>2</v>
      </c>
      <c r="P18" s="1" t="s">
        <v>21</v>
      </c>
      <c r="Q18" s="1" t="s">
        <v>217</v>
      </c>
      <c r="R18" s="20"/>
      <c r="S18" s="20"/>
      <c r="T18" s="20"/>
    </row>
    <row r="19" spans="1:20" ht="35.450000000000003" hidden="1" customHeight="1" thickBot="1">
      <c r="A19" s="20"/>
      <c r="B19" s="29" t="s">
        <v>58</v>
      </c>
      <c r="C19" s="34" t="s">
        <v>45</v>
      </c>
      <c r="D19" s="27" t="s">
        <v>46</v>
      </c>
      <c r="E19" s="31"/>
      <c r="F19" s="11" t="str" cm="1">
        <f t="array" ref="F19">IFERROR(INDEX(P19:T19,1,O19),"")</f>
        <v>Zadejte celkový příkon zářivek.</v>
      </c>
      <c r="G19" s="23"/>
      <c r="H19" s="23" t="b">
        <f>AND(E18=ano,H18,K18,L18)</f>
        <v>0</v>
      </c>
      <c r="I19" s="1">
        <f>E19*H19*K19*L19</f>
        <v>0</v>
      </c>
      <c r="J19" s="1">
        <f>IF(K19,ROW(E22),ROW())</f>
        <v>19</v>
      </c>
      <c r="K19" s="1" t="b">
        <f>IFERROR(AND(ISNUMBER(E19),IF(ISNUMBER(E19),AND(E19/E17&gt;=ZářivkaMin,E19/E17&lt;=ZářivkaMax),FALSE)),FALSE)</f>
        <v>0</v>
      </c>
      <c r="L19" s="1" t="b">
        <f>K19</f>
        <v>0</v>
      </c>
      <c r="M19" s="1"/>
      <c r="N19" s="1"/>
      <c r="O19" s="1" cm="1">
        <f t="array" ref="O19">myidx(K19,ISBLANK(E19),NOT(ISNUMBER(E19)),E19/E17 &lt; ZářivkaMin, E19/E17 &gt; ZářivkaMax)</f>
        <v>2</v>
      </c>
      <c r="P19" s="1" t="s">
        <v>21</v>
      </c>
      <c r="Q19" s="1" t="s">
        <v>131</v>
      </c>
      <c r="R19" s="1" t="s">
        <v>23</v>
      </c>
      <c r="S19" s="1" t="str">
        <f>"Příliš malý příkon, průměrný příkon zářivky musí být alespoň " &amp; ZářivkaMin &amp; " W."</f>
        <v>Příliš malý příkon, průměrný příkon zářivky musí být alespoň 4 W.</v>
      </c>
      <c r="T19" s="1" t="str">
        <f>"Příliš velký příkon, průměrný příkon zářivky může být nejvíce " &amp; ZářivkaMax &amp; " W."</f>
        <v>Příliš velký příkon, průměrný příkon zářivky může být nejvíce 500 W.</v>
      </c>
    </row>
    <row r="20" spans="1:20" ht="35.450000000000003" hidden="1" customHeight="1" thickBot="1">
      <c r="A20" s="20"/>
      <c r="B20" s="29" t="s">
        <v>60</v>
      </c>
      <c r="C20" s="30" t="s">
        <v>61</v>
      </c>
      <c r="D20" s="27" t="s">
        <v>46</v>
      </c>
      <c r="E20" s="33"/>
      <c r="F20" s="11" t="str" cm="1">
        <f t="array" ref="F20">IFERROR(INDEX(P20:T20,1,O20),"")</f>
        <v>Zadejte průměrný příkon zářivek.</v>
      </c>
      <c r="H20" s="23" t="b">
        <f>AND(E18=ne,H18,K18,L18)</f>
        <v>0</v>
      </c>
      <c r="I20" s="1">
        <f>E20*H20*K20*L20</f>
        <v>0</v>
      </c>
      <c r="J20" s="1">
        <f>IF(K20,ROW(E22),ROW())</f>
        <v>20</v>
      </c>
      <c r="K20" s="1" t="b">
        <f>IFERROR(AND(ISNUMBER(E20),IF(ISNUMBER(E20),AND(E20&gt;=RtuťovkaMin,E20&lt;=RtuťovkaMax),FALSE)),FALSE)</f>
        <v>0</v>
      </c>
      <c r="L20" s="1" t="b">
        <f>K20</f>
        <v>0</v>
      </c>
      <c r="M20" s="1"/>
      <c r="N20" s="1"/>
      <c r="O20" s="1" cm="1">
        <f t="array" ref="O20">myidx(K20,ISBLANK(E20),NOT(ISNUMBER(E20)),E20 &lt; ZářivkaMin, E20 &gt; ZářivkaMax)</f>
        <v>2</v>
      </c>
      <c r="P20" s="1" t="s">
        <v>21</v>
      </c>
      <c r="Q20" s="1" t="s">
        <v>132</v>
      </c>
      <c r="R20" s="1" t="s">
        <v>23</v>
      </c>
      <c r="S20" s="1" t="str">
        <f>"Příliš malý příkon, průměrný příkon zářivky musí být alespoň " &amp; ZářivkaMin &amp; " W."</f>
        <v>Příliš malý příkon, průměrný příkon zářivky musí být alespoň 4 W.</v>
      </c>
      <c r="T20" s="1" t="str">
        <f>"Příliš velký příkon, průměrný příkon zářivky může být nejvíce " &amp; ZářivkaMax &amp; " W."</f>
        <v>Příliš velký příkon, průměrný příkon zářivky může být nejvíce 500 W.</v>
      </c>
    </row>
    <row r="21" spans="1:20" ht="13.9" customHeight="1" thickBot="1">
      <c r="A21" s="20"/>
      <c r="B21" s="40"/>
      <c r="C21" s="41"/>
      <c r="D21" s="42"/>
      <c r="E21" s="43"/>
      <c r="F21" s="22"/>
      <c r="G21" s="23"/>
      <c r="H21" s="23" t="b">
        <v>1</v>
      </c>
      <c r="I21" s="23"/>
      <c r="J21" s="23"/>
      <c r="K21" s="83" t="b">
        <f>OR(E16=ne,AND(K16,K17,E18=ano,K19),AND(K16,K17,E18=ne,K20))</f>
        <v>0</v>
      </c>
      <c r="L21" s="83">
        <f>IFERROR(K21*(I20+I19/I17),0)</f>
        <v>0</v>
      </c>
      <c r="M21" s="83"/>
      <c r="N21" s="83"/>
      <c r="O21" s="83">
        <f>IFERROR(SIGN(L21)*E17*VLOOKUP(L21,TOsvětlení[[zářivka]:[příkon led]],2,1),0)</f>
        <v>0</v>
      </c>
      <c r="P21" s="23"/>
      <c r="Q21" s="23"/>
      <c r="R21" s="20"/>
      <c r="S21" s="20"/>
      <c r="T21" s="20"/>
    </row>
    <row r="22" spans="1:20" ht="35.450000000000003" customHeight="1" thickBot="1">
      <c r="A22" s="20"/>
      <c r="B22" s="25" t="s">
        <v>111</v>
      </c>
      <c r="C22" s="26" t="s">
        <v>63</v>
      </c>
      <c r="D22" s="27" t="s">
        <v>11</v>
      </c>
      <c r="E22" s="33"/>
      <c r="F22" s="28" t="str" cm="1">
        <f t="array" ref="F22">IFERROR(INDEX(P22:Q22,1,O22),"")</f>
        <v>Vyberte ano nebo ne.</v>
      </c>
      <c r="G22" s="23"/>
      <c r="H22" s="23" t="b">
        <v>1</v>
      </c>
      <c r="I22" s="1" t="str">
        <f>IF(AND(H22,K22,L22),E22,"")</f>
        <v/>
      </c>
      <c r="J22" s="1">
        <f>IF(K22,IF(E22=ano,ROW(E23),ROW(E28)),ROW())</f>
        <v>22</v>
      </c>
      <c r="K22" s="1" t="b">
        <f>OR(E22=ano,E22=ne)</f>
        <v>0</v>
      </c>
      <c r="L22" s="1" t="b">
        <f>K22</f>
        <v>0</v>
      </c>
      <c r="M22" s="1"/>
      <c r="N22" s="1"/>
      <c r="O22" s="1" cm="1">
        <f t="array" ref="O22">myidx(AND(K22,L22),AND(E22&lt;&gt;ano,E22&lt;&gt;ne),NOT(L22))</f>
        <v>2</v>
      </c>
      <c r="P22" s="1" t="s">
        <v>21</v>
      </c>
      <c r="Q22" s="1" t="s">
        <v>217</v>
      </c>
      <c r="R22" s="20"/>
      <c r="S22" s="20"/>
      <c r="T22" s="20"/>
    </row>
    <row r="23" spans="1:20" ht="35.450000000000003" customHeight="1" thickBot="1">
      <c r="A23" s="20"/>
      <c r="B23" s="29" t="s">
        <v>62</v>
      </c>
      <c r="C23" s="26" t="s">
        <v>41</v>
      </c>
      <c r="D23" s="27"/>
      <c r="E23" s="31"/>
      <c r="F23" s="11" t="str" cm="1">
        <f t="array" ref="F23">IFERROR(INDEX(P23:S23,1,O23),"")</f>
        <v>Zadejte jejich počet.</v>
      </c>
      <c r="H23" s="23" t="b">
        <f>E22=ano</f>
        <v>0</v>
      </c>
      <c r="I23" s="1">
        <f>E23*H23*K23*L23</f>
        <v>0</v>
      </c>
      <c r="J23" s="1">
        <f>IF(K23,ROW(E24),ROW())</f>
        <v>23</v>
      </c>
      <c r="K23" s="1" t="b">
        <f>AND(ISNUMBER(E23),IF(ISNUMBER(E23),E23&gt;0,FALSE))</f>
        <v>0</v>
      </c>
      <c r="L23" s="1" t="b">
        <f>K23</f>
        <v>0</v>
      </c>
      <c r="M23" s="1"/>
      <c r="N23" s="1"/>
      <c r="O23" s="1" cm="1">
        <f t="array" ref="O23">myidx(K23,ISBLANK(E23),NOT(ISNUMBER(E23)),E23&lt;=0)</f>
        <v>2</v>
      </c>
      <c r="P23" s="1" t="s">
        <v>21</v>
      </c>
      <c r="Q23" s="1" t="s">
        <v>101</v>
      </c>
      <c r="R23" s="1" t="s">
        <v>23</v>
      </c>
      <c r="S23" s="1" t="s">
        <v>102</v>
      </c>
      <c r="T23" s="20"/>
    </row>
    <row r="24" spans="1:20" ht="35.450000000000003" customHeight="1" thickBot="1">
      <c r="A24" s="20"/>
      <c r="B24" s="29" t="s">
        <v>64</v>
      </c>
      <c r="C24" s="30" t="s">
        <v>66</v>
      </c>
      <c r="D24" s="27" t="s">
        <v>11</v>
      </c>
      <c r="E24" s="33"/>
      <c r="F24" s="11" t="str" cm="1">
        <f t="array" ref="F24">IFERROR(INDEX(P24:Q24,1,O24),"")</f>
        <v>Vyberte ano nebo ne.</v>
      </c>
      <c r="G24" s="23"/>
      <c r="H24" s="23" t="b">
        <f>AND(H23,K23,L23)</f>
        <v>0</v>
      </c>
      <c r="I24" s="1" t="str">
        <f>IF(AND(H24,K24,L24),E24,"")</f>
        <v/>
      </c>
      <c r="J24" s="1">
        <f>IF(K24,IF(E24=ano,ROW(E25),ROW(E26)),ROW())</f>
        <v>24</v>
      </c>
      <c r="K24" s="1" t="b">
        <f>OR(E24=ano,E24=ne)</f>
        <v>0</v>
      </c>
      <c r="L24" s="1" t="b">
        <f>K24</f>
        <v>0</v>
      </c>
      <c r="M24" s="1"/>
      <c r="N24" s="1"/>
      <c r="O24" s="1" cm="1">
        <f t="array" ref="O24">myidx(AND(K24,L24),AND(E24&lt;&gt;ano,E24&lt;&gt;ne),NOT(L24))</f>
        <v>2</v>
      </c>
      <c r="P24" s="1" t="s">
        <v>21</v>
      </c>
      <c r="Q24" s="1" t="s">
        <v>217</v>
      </c>
      <c r="R24" s="20"/>
      <c r="S24" s="20"/>
      <c r="T24" s="20"/>
    </row>
    <row r="25" spans="1:20" ht="35.450000000000003" hidden="1" customHeight="1" thickBot="1">
      <c r="A25" s="20"/>
      <c r="B25" s="29" t="s">
        <v>65</v>
      </c>
      <c r="C25" s="34" t="s">
        <v>45</v>
      </c>
      <c r="D25" s="27" t="s">
        <v>46</v>
      </c>
      <c r="E25" s="31"/>
      <c r="F25" s="11" t="str" cm="1">
        <f t="array" ref="F25">IFERROR(INDEX(P25:T25,1,O25),"")</f>
        <v>Zadejte celkový příkon rtuťových výbojek.</v>
      </c>
      <c r="G25" s="23"/>
      <c r="H25" s="23" t="b">
        <f>AND(E24=ano,H24,K24,L24)</f>
        <v>0</v>
      </c>
      <c r="I25" s="1">
        <f>E25*H25*K25*L25</f>
        <v>0</v>
      </c>
      <c r="J25" s="1">
        <f>IF(K25,ROW(E28),ROW())</f>
        <v>25</v>
      </c>
      <c r="K25" s="1" t="b">
        <f>IFERROR(AND(ISNUMBER(E25),IF(ISNUMBER(E25),AND(E25/E23&gt;=RtuťovkaMin,E25/E23&lt;=RtuťovkaMax),FALSE)),FALSE)</f>
        <v>0</v>
      </c>
      <c r="L25" s="1" t="b">
        <f>K25</f>
        <v>0</v>
      </c>
      <c r="M25" s="1"/>
      <c r="N25" s="1"/>
      <c r="O25" s="1" cm="1">
        <f t="array" ref="O25">myidx(K25,ISBLANK(E25),NOT(ISNUMBER(E25)),E25/E23 &lt; RtuťovkaMin, E25/E23 &gt; RtuťovkaMax)</f>
        <v>2</v>
      </c>
      <c r="P25" s="1" t="s">
        <v>21</v>
      </c>
      <c r="Q25" s="1" t="s">
        <v>133</v>
      </c>
      <c r="R25" s="1" t="s">
        <v>23</v>
      </c>
      <c r="S25" s="1" t="str">
        <f>"Příliš malý příkon, průměrný příkon rtuťové výbojky musí být alespoň " &amp; RtuťovkaMin &amp; " W."</f>
        <v>Příliš malý příkon, průměrný příkon rtuťové výbojky musí být alespoň 7 W.</v>
      </c>
      <c r="T25" s="1" t="str">
        <f>"Příliš velký příkon, průměrný příkon rtuťové výbojky může být nejvíce " &amp; RtuťovkaMax &amp; " W."</f>
        <v>Příliš velký příkon, průměrný příkon rtuťové výbojky může být nejvíce 500 W.</v>
      </c>
    </row>
    <row r="26" spans="1:20" ht="35.450000000000003" customHeight="1" thickBot="1">
      <c r="A26" s="20"/>
      <c r="B26" s="29" t="s">
        <v>67</v>
      </c>
      <c r="C26" s="30" t="s">
        <v>68</v>
      </c>
      <c r="D26" s="27" t="s">
        <v>46</v>
      </c>
      <c r="E26" s="33"/>
      <c r="F26" s="11" t="str" cm="1">
        <f t="array" ref="F26">IFERROR(INDEX(P26:T26,1,O26),"")</f>
        <v>Zadejte průměrný příkon rtuťových výbojek.</v>
      </c>
      <c r="G26" s="23"/>
      <c r="H26" s="23" t="b">
        <f>AND(E24=ne,H24,K24,L24)</f>
        <v>0</v>
      </c>
      <c r="I26" s="1">
        <f>E26*H26*K26*L26</f>
        <v>0</v>
      </c>
      <c r="J26" s="1">
        <f>IF(K26,ROW(E28),ROW())</f>
        <v>26</v>
      </c>
      <c r="K26" s="1" t="b">
        <f>IFERROR(AND(ISNUMBER(E26),IF(ISNUMBER(E26),AND(E26&gt;=RtuťovkaMin,E26&lt;=RtuťovkaMax),FALSE)),FALSE)</f>
        <v>0</v>
      </c>
      <c r="L26" s="1" t="b">
        <f>K26</f>
        <v>0</v>
      </c>
      <c r="M26" s="1"/>
      <c r="N26" s="1"/>
      <c r="O26" s="1" cm="1">
        <f t="array" ref="O26">myidx(K26,ISBLANK(E26),NOT(ISNUMBER(E26)),E26 &lt; RtuťovkaMin, E26 &gt; RtuťovkaMax)</f>
        <v>2</v>
      </c>
      <c r="P26" s="1" t="s">
        <v>21</v>
      </c>
      <c r="Q26" s="1" t="s">
        <v>134</v>
      </c>
      <c r="R26" s="1" t="s">
        <v>23</v>
      </c>
      <c r="S26" s="1" t="str">
        <f>"Příliš malý příkon, průměrný příkon rtuťové výbojky musí být alespoň " &amp; RtuťovkaMin &amp; " W."</f>
        <v>Příliš malý příkon, průměrný příkon rtuťové výbojky musí být alespoň 7 W.</v>
      </c>
      <c r="T26" s="1" t="str">
        <f>"Příliš velký příkon, průměrný příkon rtuťové výbojky může být nejvíce " &amp; RtuťovkaMax &amp; " W."</f>
        <v>Příliš velký příkon, průměrný příkon rtuťové výbojky může být nejvíce 500 W.</v>
      </c>
    </row>
    <row r="27" spans="1:20" ht="13.9" customHeight="1" thickBot="1">
      <c r="A27" s="20"/>
      <c r="B27" s="40"/>
      <c r="C27" s="41"/>
      <c r="D27" s="42"/>
      <c r="E27" s="43"/>
      <c r="F27" s="22"/>
      <c r="G27" s="23"/>
      <c r="H27" s="23" t="b">
        <v>1</v>
      </c>
      <c r="I27" s="23"/>
      <c r="J27" s="23"/>
      <c r="K27" s="83" t="b">
        <f>OR(E22=ne,AND(K22,K23,E24=ano,K25),AND(K22,K23,E24=ne,K26))</f>
        <v>0</v>
      </c>
      <c r="L27" s="83">
        <f>IFERROR(K27*(I26+I25/I23),0)</f>
        <v>0</v>
      </c>
      <c r="M27" s="83"/>
      <c r="N27" s="83"/>
      <c r="O27" s="83">
        <f>IFERROR(SIGN(L27)*E23*VLOOKUP(L27,TOsvětlení[[výbojka]:[příkon led]],4,1),0)</f>
        <v>0</v>
      </c>
      <c r="P27" s="23"/>
      <c r="Q27" s="23"/>
      <c r="R27" s="20"/>
      <c r="S27" s="20"/>
      <c r="T27" s="20"/>
    </row>
    <row r="28" spans="1:20" ht="35.450000000000003" customHeight="1" thickBot="1">
      <c r="A28" s="20"/>
      <c r="B28" s="25" t="s">
        <v>14</v>
      </c>
      <c r="C28" s="26" t="s">
        <v>70</v>
      </c>
      <c r="D28" s="27" t="s">
        <v>11</v>
      </c>
      <c r="E28" s="33"/>
      <c r="F28" s="28" t="str" cm="1">
        <f t="array" ref="F28">IFERROR(INDEX(P28:Q28,1,O28),"")</f>
        <v>Vyberte ano nebo ne.</v>
      </c>
      <c r="G28" s="23"/>
      <c r="H28" s="23" t="b">
        <v>1</v>
      </c>
      <c r="I28" s="1" t="str">
        <f>IF(AND(H28,K28,L28),E28,"")</f>
        <v/>
      </c>
      <c r="J28" s="1">
        <f>IF(K28,IF(E28=ano,ROW(E29),ROW(E35)),ROW())</f>
        <v>28</v>
      </c>
      <c r="K28" s="1" t="b">
        <f>OR(E28=ano,E28=ne)</f>
        <v>0</v>
      </c>
      <c r="L28" s="1" t="b">
        <f>K28</f>
        <v>0</v>
      </c>
      <c r="M28" s="1"/>
      <c r="N28" s="1"/>
      <c r="O28" s="1" cm="1">
        <f t="array" ref="O28">myidx(AND(K28,L28),AND(E28&lt;&gt;ano,E28&lt;&gt;ne),NOT(L28))</f>
        <v>2</v>
      </c>
      <c r="P28" s="1" t="s">
        <v>21</v>
      </c>
      <c r="Q28" s="1" t="s">
        <v>217</v>
      </c>
      <c r="R28" s="20"/>
      <c r="S28" s="20"/>
      <c r="T28" s="20"/>
    </row>
    <row r="29" spans="1:20" ht="35.450000000000003" hidden="1" customHeight="1" thickBot="1">
      <c r="A29" s="20"/>
      <c r="B29" s="29" t="s">
        <v>69</v>
      </c>
      <c r="C29" s="26" t="s">
        <v>41</v>
      </c>
      <c r="D29" s="27"/>
      <c r="E29" s="31"/>
      <c r="F29" s="11" t="str" cm="1">
        <f t="array" ref="F29">IFERROR(INDEX(P29:S29,1,O29),"")</f>
        <v>Zadejte jejich počet.</v>
      </c>
      <c r="H29" s="23" t="b">
        <f>E28=ano</f>
        <v>0</v>
      </c>
      <c r="I29" s="1">
        <f>E29*H29*K29*L29</f>
        <v>0</v>
      </c>
      <c r="J29" s="1">
        <f>IF(K29,ROW(E30),ROW())</f>
        <v>29</v>
      </c>
      <c r="K29" s="1" t="b">
        <f>AND(ISNUMBER(E29),IF(ISNUMBER(E29),E29&gt;0,FALSE))</f>
        <v>0</v>
      </c>
      <c r="L29" s="1" t="b">
        <f>K29</f>
        <v>0</v>
      </c>
      <c r="M29" s="1"/>
      <c r="N29" s="1"/>
      <c r="O29" s="1" cm="1">
        <f t="array" ref="O29">myidx(K29,ISBLANK(E29),NOT(ISNUMBER(E29)),E29&lt;=0)</f>
        <v>2</v>
      </c>
      <c r="P29" s="1" t="s">
        <v>21</v>
      </c>
      <c r="Q29" s="1" t="s">
        <v>101</v>
      </c>
      <c r="R29" s="1" t="s">
        <v>23</v>
      </c>
      <c r="S29" s="1" t="s">
        <v>102</v>
      </c>
      <c r="T29" s="20"/>
    </row>
    <row r="30" spans="1:20" ht="35.450000000000003" hidden="1" customHeight="1" thickBot="1">
      <c r="A30" s="20"/>
      <c r="B30" s="29" t="s">
        <v>71</v>
      </c>
      <c r="C30" s="30" t="s">
        <v>73</v>
      </c>
      <c r="D30" s="27" t="s">
        <v>11</v>
      </c>
      <c r="E30" s="33"/>
      <c r="F30" s="11" t="str" cm="1">
        <f t="array" ref="F30">IFERROR(INDEX(P30:Q30,1,O30),"")</f>
        <v>Vyberte ano nebo ne.</v>
      </c>
      <c r="G30" s="23"/>
      <c r="H30" s="23" t="b">
        <f>AND(H29,K29,L29)</f>
        <v>0</v>
      </c>
      <c r="I30" s="1" t="str">
        <f>IF(AND(H30,K30,L30),E30,"")</f>
        <v/>
      </c>
      <c r="J30" s="1">
        <f>IF(K30,IF(E30=ano,ROW(E31),ROW(E32)),ROW())</f>
        <v>30</v>
      </c>
      <c r="K30" s="1" t="b">
        <f>OR(E30=ano,E30=ne)</f>
        <v>0</v>
      </c>
      <c r="L30" s="1" t="b">
        <f>K30</f>
        <v>0</v>
      </c>
      <c r="M30" s="1"/>
      <c r="N30" s="1"/>
      <c r="O30" s="1" cm="1">
        <f t="array" ref="O30">myidx(AND(K30,L30),AND(E30&lt;&gt;ano,E30&lt;&gt;ne),NOT(L30))</f>
        <v>2</v>
      </c>
      <c r="P30" s="1" t="s">
        <v>21</v>
      </c>
      <c r="Q30" s="1" t="s">
        <v>217</v>
      </c>
      <c r="R30" s="20"/>
      <c r="S30" s="20"/>
      <c r="T30" s="20"/>
    </row>
    <row r="31" spans="1:20" ht="35.450000000000003" hidden="1" customHeight="1" thickBot="1">
      <c r="A31" s="20"/>
      <c r="B31" s="29" t="s">
        <v>72</v>
      </c>
      <c r="C31" s="34" t="s">
        <v>45</v>
      </c>
      <c r="D31" s="27" t="s">
        <v>46</v>
      </c>
      <c r="E31" s="31"/>
      <c r="F31" s="11" t="str" cm="1">
        <f t="array" ref="F31">IFERROR(INDEX(P31:T31,1,O31),"")</f>
        <v>Zadejte celkový příkon kompaktních zářivek.</v>
      </c>
      <c r="G31" s="23"/>
      <c r="H31" s="23" t="b">
        <f>AND(E30=ano,H30,K30,L30)</f>
        <v>0</v>
      </c>
      <c r="I31" s="1">
        <f>E31*H31*K31*L31</f>
        <v>0</v>
      </c>
      <c r="J31" s="1">
        <f>IF(K31,ROW(E35),ROW())</f>
        <v>31</v>
      </c>
      <c r="K31" s="1" t="b">
        <f>IFERROR(AND(ISNUMBER(E31),IF(ISNUMBER(E31),AND(E31/E29&gt;=CFLMin,E31/E29&lt;=CFLMax),FALSE)),FALSE)</f>
        <v>0</v>
      </c>
      <c r="L31" s="1" t="b">
        <f>K31</f>
        <v>0</v>
      </c>
      <c r="M31" s="1"/>
      <c r="N31" s="1"/>
      <c r="O31" s="1" cm="1">
        <f t="array" ref="O31">myidx(K31,ISBLANK(E31),NOT(ISNUMBER(E31)),E31/E29 &lt; CFLMin, E31/E29 &gt; CFLMax)</f>
        <v>2</v>
      </c>
      <c r="P31" s="1" t="s">
        <v>21</v>
      </c>
      <c r="Q31" s="1" t="s">
        <v>135</v>
      </c>
      <c r="R31" s="1" t="s">
        <v>23</v>
      </c>
      <c r="S31" s="1" t="str">
        <f>"Příliš malý příkon, průměrný příkon kompaktní zářivky musí být alespoň " &amp; CFLMin &amp; " W."</f>
        <v>Příliš malý příkon, průměrný příkon kompaktní zářivky musí být alespoň 5 W.</v>
      </c>
      <c r="T31" s="1" t="str">
        <f>"Příliš velký příkon, průměrný příkon kompaktní zářivky může být nejvíce " &amp; CFLMax &amp; " W."</f>
        <v>Příliš velký příkon, průměrný příkon kompaktní zářivky může být nejvíce 500 W.</v>
      </c>
    </row>
    <row r="32" spans="1:20" ht="35.450000000000003" hidden="1" customHeight="1" thickBot="1">
      <c r="A32" s="20"/>
      <c r="B32" s="29" t="s">
        <v>74</v>
      </c>
      <c r="C32" s="30" t="s">
        <v>75</v>
      </c>
      <c r="D32" s="27" t="s">
        <v>46</v>
      </c>
      <c r="E32" s="33"/>
      <c r="F32" s="11" t="str" cm="1">
        <f t="array" ref="F32">IFERROR(INDEX(P32:T32,1,O32),"")</f>
        <v>Zadejte průměrný příkon kompaktních zářivek.</v>
      </c>
      <c r="H32" s="23" t="b">
        <f>AND(E30=ne,H30,K30,L30)</f>
        <v>0</v>
      </c>
      <c r="I32" s="1">
        <f>E32*H32*K32*L32</f>
        <v>0</v>
      </c>
      <c r="J32" s="1">
        <f>IF(K32,ROW(E35),ROW())</f>
        <v>32</v>
      </c>
      <c r="K32" s="1" t="b">
        <f>IFERROR(AND(ISNUMBER(E32),IF(ISNUMBER(E32),AND(E32&gt;=CFLMin,E32&lt;=CFLMax),FALSE)),FALSE)</f>
        <v>0</v>
      </c>
      <c r="L32" s="1" t="b">
        <f>K32</f>
        <v>0</v>
      </c>
      <c r="M32" s="1"/>
      <c r="N32" s="1"/>
      <c r="O32" s="1" cm="1">
        <f t="array" ref="O32">myidx(K32,ISBLANK(E32),NOT(ISNUMBER(E32)),E32 &lt; CFLMin, E32 &gt; CFLMax)</f>
        <v>2</v>
      </c>
      <c r="P32" s="1" t="s">
        <v>21</v>
      </c>
      <c r="Q32" s="1" t="s">
        <v>136</v>
      </c>
      <c r="R32" s="1" t="s">
        <v>23</v>
      </c>
      <c r="S32" s="1" t="str">
        <f>"Příliš malý příkon, průměrný příkon kompaktní zářivky musí být alespoň " &amp; CFLMin &amp; " W."</f>
        <v>Příliš malý příkon, průměrný příkon kompaktní zářivky musí být alespoň 5 W.</v>
      </c>
      <c r="T32" s="1" t="str">
        <f>"Příliš velký příkon, průměrný příkon kompaktní zářivky může být nejvíce " &amp; CFLMax &amp; " W."</f>
        <v>Příliš velký příkon, průměrný příkon kompaktní zářivky může být nejvíce 500 W.</v>
      </c>
    </row>
    <row r="33" spans="1:20" ht="15.75" thickBot="1">
      <c r="A33" s="20"/>
      <c r="B33" s="20"/>
      <c r="C33" s="20"/>
      <c r="D33" s="44"/>
      <c r="E33" s="45"/>
      <c r="F33" s="22"/>
      <c r="G33" s="23"/>
      <c r="H33" s="23" t="b">
        <v>1</v>
      </c>
      <c r="I33" s="23"/>
      <c r="J33" s="23"/>
      <c r="K33" s="83" t="b">
        <f>OR(E28=ne,AND(K28,K29,E30=ano,K31),AND(K28,K29,E30=ne,K32))</f>
        <v>0</v>
      </c>
      <c r="L33" s="83">
        <f>IFERROR(K33*(I32+I31/I29),0)</f>
        <v>0</v>
      </c>
      <c r="M33" s="83"/>
      <c r="N33" s="83"/>
      <c r="O33" s="83">
        <f>IFERROR(SIGN(L33)*E29*VLOOKUP(L33,TOsvětlení[[CFL]:[příkon led]],3,1),0)</f>
        <v>0</v>
      </c>
      <c r="P33" s="23"/>
      <c r="Q33" s="23"/>
      <c r="R33" s="20"/>
      <c r="S33" s="20"/>
      <c r="T33" s="20"/>
    </row>
    <row r="34" spans="1:20" ht="35.450000000000003" customHeight="1" thickBot="1">
      <c r="A34" s="20"/>
      <c r="B34" s="46" t="s">
        <v>76</v>
      </c>
      <c r="C34" s="47" t="s">
        <v>77</v>
      </c>
      <c r="D34" s="21"/>
      <c r="E34" s="48"/>
      <c r="F34" s="22"/>
      <c r="G34" s="23"/>
      <c r="H34" s="23" t="b">
        <f>AND(K9,K15,K21,K27,K33,OR(E4=ano,E10=ano,E16=ano,E22=ano,E28=ano))</f>
        <v>0</v>
      </c>
      <c r="I34" s="23"/>
      <c r="J34" s="23"/>
      <c r="K34" s="23"/>
      <c r="L34" s="23"/>
      <c r="M34" s="23"/>
      <c r="N34" s="23"/>
      <c r="O34" s="23"/>
      <c r="P34" s="23"/>
      <c r="Q34" s="23"/>
      <c r="R34" s="20"/>
      <c r="S34" s="20"/>
      <c r="T34" s="20"/>
    </row>
    <row r="35" spans="1:20" ht="35.450000000000003" customHeight="1" thickBot="1">
      <c r="A35" s="20"/>
      <c r="B35" s="49" t="s">
        <v>104</v>
      </c>
      <c r="C35" s="26" t="s">
        <v>79</v>
      </c>
      <c r="D35" s="27" t="s">
        <v>11</v>
      </c>
      <c r="E35" s="33"/>
      <c r="F35" s="11" t="str" cm="1">
        <f t="array" ref="F35">IFERROR(INDEX(P35:Q35,1,O35),"")</f>
        <v>Vyberte ano nebo ne.</v>
      </c>
      <c r="G35" s="23"/>
      <c r="H35" s="23" t="b">
        <f>H34</f>
        <v>0</v>
      </c>
      <c r="I35" s="1" t="str">
        <f>IF(AND(H35,K35,L35),E35,"")</f>
        <v/>
      </c>
      <c r="J35" s="1">
        <f>IF(K35,IF(E35=ano,ROW(E36),ROW(E37)),ROW())</f>
        <v>35</v>
      </c>
      <c r="K35" s="1" t="b">
        <f>OR(E35=ano,E35=ne)</f>
        <v>0</v>
      </c>
      <c r="L35" s="1" t="b">
        <f>K35</f>
        <v>0</v>
      </c>
      <c r="M35" s="1"/>
      <c r="N35" s="1"/>
      <c r="O35" s="1" cm="1">
        <f t="array" ref="O35">myidx(AND(K35,L35),AND(E35&lt;&gt;ano,E35&lt;&gt;ne),NOT(L35))</f>
        <v>2</v>
      </c>
      <c r="P35" s="1" t="s">
        <v>21</v>
      </c>
      <c r="Q35" s="1" t="s">
        <v>217</v>
      </c>
      <c r="R35" s="20"/>
      <c r="S35" s="20"/>
      <c r="T35" s="20"/>
    </row>
    <row r="36" spans="1:20" ht="35.450000000000003" hidden="1" customHeight="1" thickBot="1">
      <c r="A36" s="20"/>
      <c r="B36" s="84" t="s">
        <v>78</v>
      </c>
      <c r="C36" s="30" t="s">
        <v>80</v>
      </c>
      <c r="D36" s="27" t="s">
        <v>8</v>
      </c>
      <c r="E36" s="50"/>
      <c r="F36" s="11" t="str" cm="1">
        <f t="array" ref="F36">IFERROR(INDEX(P36:T36,1,O36),"")</f>
        <v>Zadejte celkovou spotřebu elekřiny na osvětlení.</v>
      </c>
      <c r="H36" s="23" t="b">
        <f>AND(E35=ano,H35,K35,L35)</f>
        <v>0</v>
      </c>
      <c r="I36" s="1">
        <f>E36*H36*K36*L36</f>
        <v>0</v>
      </c>
      <c r="J36" s="1">
        <f>IF(K36,ROW(E37),ROW())</f>
        <v>36</v>
      </c>
      <c r="K36" s="1" t="b">
        <f>AND(ISNUMBER(E36),IF(ISNUMBER(E36),E36&gt;0,FALSE))</f>
        <v>0</v>
      </c>
      <c r="L36" s="1" t="b">
        <f>K36</f>
        <v>0</v>
      </c>
      <c r="M36" s="1"/>
      <c r="N36" s="1"/>
      <c r="O36" s="1" cm="1">
        <f t="array" ref="O36">myidx(K36,ISBLANK(E36),NOT(ISNUMBER(E36)),E36&lt;=0)</f>
        <v>2</v>
      </c>
      <c r="P36" s="1" t="s">
        <v>21</v>
      </c>
      <c r="Q36" s="1" t="s">
        <v>105</v>
      </c>
      <c r="R36" s="1" t="s">
        <v>23</v>
      </c>
      <c r="S36" s="1" t="s">
        <v>106</v>
      </c>
      <c r="T36" s="1"/>
    </row>
    <row r="37" spans="1:20" ht="35.450000000000003" customHeight="1" thickBot="1">
      <c r="A37" s="20"/>
      <c r="B37" s="49" t="s">
        <v>81</v>
      </c>
      <c r="C37" s="26" t="s">
        <v>82</v>
      </c>
      <c r="D37" s="27" t="s">
        <v>83</v>
      </c>
      <c r="E37" s="51"/>
      <c r="F37" s="11" t="str" cm="1">
        <f t="array" ref="F37">IFERROR(INDEX(P37:T37,1,O37),"")</f>
        <v>Zadejte počet hodin.</v>
      </c>
      <c r="G37" s="23"/>
      <c r="H37" s="23" t="b">
        <f>AND(H35,K35,L35)</f>
        <v>0</v>
      </c>
      <c r="I37" s="1">
        <f>E37*H37*K37*L37</f>
        <v>0</v>
      </c>
      <c r="J37" s="1">
        <f>IF(K37,ROW(E38),ROW())</f>
        <v>37</v>
      </c>
      <c r="K37" s="1" t="b">
        <f>AND(ISNUMBER(E37),IF(ISNUMBER(E37),AND(E37&gt;=0,E37&lt;=24),FALSE))</f>
        <v>0</v>
      </c>
      <c r="L37" s="1" t="b">
        <f>K37</f>
        <v>0</v>
      </c>
      <c r="M37" s="1"/>
      <c r="N37" s="1"/>
      <c r="O37" s="1" cm="1">
        <f t="array" ref="O37">myidx(K37,ISBLANK(E37),NOT(ISNUMBER(E37)),OR(E37&lt;0,E37&gt;24))</f>
        <v>2</v>
      </c>
      <c r="P37" s="1" t="s">
        <v>21</v>
      </c>
      <c r="Q37" s="1" t="s">
        <v>107</v>
      </c>
      <c r="R37" s="1" t="s">
        <v>23</v>
      </c>
      <c r="S37" s="1" t="s">
        <v>108</v>
      </c>
      <c r="T37" s="20"/>
    </row>
    <row r="38" spans="1:20" s="32" customFormat="1" ht="35.450000000000003" customHeight="1" thickBot="1">
      <c r="A38" s="23"/>
      <c r="B38" s="49" t="s">
        <v>81</v>
      </c>
      <c r="C38" s="26" t="s">
        <v>138</v>
      </c>
      <c r="D38" s="27" t="s">
        <v>84</v>
      </c>
      <c r="E38" s="51"/>
      <c r="F38" s="11" t="str" cm="1">
        <f t="array" ref="F38">IFERROR(INDEX(P38:T38,1,O38),"")</f>
        <v>Zadejte počet dní.</v>
      </c>
      <c r="G38" s="23"/>
      <c r="H38" s="23" t="b">
        <f>AND(H37,K37,L37)</f>
        <v>0</v>
      </c>
      <c r="I38" s="1">
        <f>E38*H38*K38*L38</f>
        <v>0</v>
      </c>
      <c r="J38" s="1">
        <f>IF(K38,IF(JePENB,ROW(E40),ROW(E38)),ROW())</f>
        <v>38</v>
      </c>
      <c r="K38" s="1" t="b">
        <f>AND(ISNUMBER(E38),IF(ISNUMBER(E38),AND(E38&gt;=1,E38&lt;=365),FALSE))</f>
        <v>0</v>
      </c>
      <c r="L38" s="1" t="b">
        <f>K38</f>
        <v>0</v>
      </c>
      <c r="M38" s="1"/>
      <c r="N38" s="1"/>
      <c r="O38" s="1" cm="1">
        <f t="array" ref="O38">myidx(K38,ISBLANK(E38),NOT(ISNUMBER(E38)),OR(E38&lt;1,E38&gt;365))</f>
        <v>2</v>
      </c>
      <c r="P38" s="1" t="s">
        <v>21</v>
      </c>
      <c r="Q38" s="1" t="s">
        <v>110</v>
      </c>
      <c r="R38" s="1" t="s">
        <v>23</v>
      </c>
      <c r="S38" s="1" t="s">
        <v>109</v>
      </c>
      <c r="T38" s="20"/>
    </row>
    <row r="39" spans="1:20" s="32" customFormat="1" ht="35.450000000000003" hidden="1" customHeight="1" thickBot="1">
      <c r="A39" s="23"/>
      <c r="B39" s="86" t="s">
        <v>85</v>
      </c>
      <c r="C39" s="53" t="s">
        <v>86</v>
      </c>
      <c r="D39" s="54"/>
      <c r="E39" s="55"/>
      <c r="F39" s="52"/>
      <c r="G39" s="23"/>
      <c r="H39" s="23" t="b">
        <f>H40</f>
        <v>0</v>
      </c>
      <c r="I39" s="23"/>
      <c r="J39" s="23"/>
      <c r="K39" s="23"/>
      <c r="L39" s="23"/>
      <c r="M39" s="23"/>
      <c r="N39" s="23"/>
      <c r="O39" s="23"/>
      <c r="P39" s="23"/>
      <c r="Q39" s="23"/>
      <c r="R39" s="23"/>
      <c r="S39" s="23"/>
      <c r="T39" s="23"/>
    </row>
    <row r="40" spans="1:20" s="32" customFormat="1" ht="35.450000000000003" hidden="1" customHeight="1" thickBot="1">
      <c r="A40" s="23"/>
      <c r="B40" s="85" t="s">
        <v>87</v>
      </c>
      <c r="C40" s="56" t="s">
        <v>88</v>
      </c>
      <c r="D40" s="56" t="s">
        <v>89</v>
      </c>
      <c r="E40" s="33"/>
      <c r="F40" s="11" t="str" cm="1">
        <f t="array" ref="F40">IFERROR(INDEX(P40:Q40,1,O40),"")</f>
        <v>Vyberte ano nebo ne.</v>
      </c>
      <c r="G40" s="23"/>
      <c r="H40" s="23" t="b">
        <f>AND(JePENB,H38,K38,L38)</f>
        <v>0</v>
      </c>
      <c r="I40" s="1" t="str">
        <f>IF(AND(H40,K40,L40),E40,"")</f>
        <v/>
      </c>
      <c r="J40" s="1">
        <f>ROW()</f>
        <v>40</v>
      </c>
      <c r="K40" s="1" t="b">
        <f>OR(E40=ano,E40=ne)</f>
        <v>0</v>
      </c>
      <c r="L40" s="1" t="b">
        <f>AND(L38,K40)</f>
        <v>0</v>
      </c>
      <c r="M40" s="1"/>
      <c r="N40" s="1"/>
      <c r="O40" s="1" cm="1">
        <f t="array" ref="O40">myidx(AND(K40,L40),AND(E40&lt;&gt;ano,E40&lt;&gt;ne),NOT(L40))</f>
        <v>2</v>
      </c>
      <c r="P40" s="1" t="s">
        <v>21</v>
      </c>
      <c r="Q40" s="1" t="s">
        <v>217</v>
      </c>
      <c r="R40" s="20"/>
      <c r="S40" s="23"/>
      <c r="T40" s="23"/>
    </row>
    <row r="41" spans="1:20" s="178" customFormat="1" ht="43.15" customHeight="1">
      <c r="A41" s="35"/>
      <c r="B41" s="177"/>
      <c r="C41" s="177"/>
      <c r="D41" s="175" t="str">
        <f>IFERROR(IF(L41,"Konec formuláře",""),"")</f>
        <v/>
      </c>
      <c r="E41" s="173"/>
      <c r="F41" s="35" t="str">
        <f>IF(AND(E4=ne,E10=ne,E16=ne,E22=ne,E28=ne),"Nebyl vybrán žádný světelný zdroj.","")</f>
        <v/>
      </c>
      <c r="G41" s="35"/>
      <c r="H41" s="35" t="b">
        <v>1</v>
      </c>
      <c r="I41" s="35"/>
      <c r="J41" s="35"/>
      <c r="K41" s="35"/>
      <c r="L41" s="35" t="b">
        <f>IF(JePENB,L40,L38)</f>
        <v>0</v>
      </c>
      <c r="M41" s="35"/>
      <c r="N41" s="35"/>
      <c r="O41" s="35"/>
      <c r="P41" s="35"/>
      <c r="Q41" s="35"/>
      <c r="R41" s="35"/>
      <c r="S41" s="35"/>
      <c r="T41" s="35"/>
    </row>
    <row r="42" spans="1:20" s="63" customFormat="1" ht="18" customHeight="1" thickBot="1">
      <c r="A42" s="61"/>
      <c r="B42" s="57" t="s">
        <v>90</v>
      </c>
      <c r="C42" s="58" t="s">
        <v>91</v>
      </c>
      <c r="D42" s="59"/>
      <c r="E42" s="60"/>
      <c r="F42" s="62"/>
      <c r="G42" s="61"/>
      <c r="H42" s="488" t="b">
        <f t="shared" ref="H42:H55" si="0">$L$41</f>
        <v>0</v>
      </c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</row>
    <row r="43" spans="1:20" s="32" customFormat="1" ht="18" customHeight="1" thickBot="1">
      <c r="A43" s="23"/>
      <c r="B43" s="64"/>
      <c r="C43" s="65" t="s">
        <v>92</v>
      </c>
      <c r="D43" s="66"/>
      <c r="E43" s="67"/>
      <c r="F43" s="24"/>
      <c r="G43" s="23"/>
      <c r="H43" s="35" t="b">
        <f t="shared" si="0"/>
        <v>0</v>
      </c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</row>
    <row r="44" spans="1:20" s="32" customFormat="1" ht="12.75" customHeight="1" thickBot="1">
      <c r="A44" s="23"/>
      <c r="B44" s="68"/>
      <c r="C44" s="69" t="s">
        <v>93</v>
      </c>
      <c r="D44" s="70">
        <f>IF(E35=ano,E36,(I7+I13+I19+I25+I31+I5*I8+I11*I14+I17*I20+I23*I26+I29*I32)*E37*E38/1000)</f>
        <v>0</v>
      </c>
      <c r="E44" s="71" t="s">
        <v>8</v>
      </c>
      <c r="F44" s="24"/>
      <c r="G44" s="23"/>
      <c r="H44" s="35" t="b">
        <f t="shared" si="0"/>
        <v>0</v>
      </c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</row>
    <row r="45" spans="1:20" s="32" customFormat="1" ht="15.75" customHeight="1" thickBot="1">
      <c r="A45" s="23"/>
      <c r="B45" s="68"/>
      <c r="C45" s="69" t="s">
        <v>94</v>
      </c>
      <c r="D45" s="70">
        <f>E37*E38/1000*(O9+O15+O21+O27+O33)</f>
        <v>0</v>
      </c>
      <c r="E45" s="71" t="s">
        <v>8</v>
      </c>
      <c r="F45" s="24"/>
      <c r="G45" s="23"/>
      <c r="H45" s="35" t="b">
        <f t="shared" si="0"/>
        <v>0</v>
      </c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</row>
    <row r="46" spans="1:20" s="32" customFormat="1" ht="15.75" customHeight="1" thickBot="1">
      <c r="A46" s="23"/>
      <c r="B46" s="68"/>
      <c r="C46" s="72" t="s">
        <v>95</v>
      </c>
      <c r="D46" s="73">
        <f>D44-D45</f>
        <v>0</v>
      </c>
      <c r="E46" s="71" t="s">
        <v>8</v>
      </c>
      <c r="F46" s="24"/>
      <c r="G46" s="23"/>
      <c r="H46" s="35" t="b">
        <f t="shared" si="0"/>
        <v>0</v>
      </c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</row>
    <row r="47" spans="1:20" s="32" customFormat="1" ht="15.75" customHeight="1">
      <c r="A47" s="23"/>
      <c r="B47" s="74"/>
      <c r="C47" s="72" t="s">
        <v>95</v>
      </c>
      <c r="D47" s="78">
        <f>IFERROR(D46/D44,0)</f>
        <v>0</v>
      </c>
      <c r="E47" s="75" t="s">
        <v>96</v>
      </c>
      <c r="F47" s="24"/>
      <c r="G47" s="23"/>
      <c r="H47" s="35" t="b">
        <f t="shared" si="0"/>
        <v>0</v>
      </c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</row>
    <row r="48" spans="1:20" s="32" customFormat="1" ht="14.25" customHeight="1">
      <c r="A48" s="23"/>
      <c r="B48" s="74"/>
      <c r="C48" s="75" t="s">
        <v>97</v>
      </c>
      <c r="D48" s="76">
        <f>Bilance!M20</f>
        <v>0</v>
      </c>
      <c r="E48" s="75" t="s">
        <v>98</v>
      </c>
      <c r="F48" s="24"/>
      <c r="G48" s="23"/>
      <c r="H48" s="35" t="b">
        <f t="shared" si="0"/>
        <v>0</v>
      </c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</row>
    <row r="49" spans="1:20" s="32" customFormat="1" ht="21.75" customHeight="1">
      <c r="A49" s="23"/>
      <c r="B49" s="74"/>
      <c r="C49" s="75" t="s">
        <v>99</v>
      </c>
      <c r="D49" s="76">
        <f>Bilance!Y20</f>
        <v>0</v>
      </c>
      <c r="E49" s="75" t="s">
        <v>258</v>
      </c>
      <c r="F49" s="24"/>
      <c r="G49" s="23"/>
      <c r="H49" s="35" t="b">
        <f t="shared" si="0"/>
        <v>0</v>
      </c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</row>
    <row r="50" spans="1:20" s="32" customFormat="1" ht="12.75" customHeight="1" thickBot="1">
      <c r="A50" s="23"/>
      <c r="B50" s="74"/>
      <c r="C50" s="75" t="s">
        <v>100</v>
      </c>
      <c r="D50" s="76"/>
      <c r="E50" s="75"/>
      <c r="F50" s="24"/>
      <c r="G50" s="23"/>
      <c r="H50" s="35" t="b">
        <f t="shared" si="0"/>
        <v>0</v>
      </c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</row>
    <row r="51" spans="1:20" s="81" customFormat="1" ht="15" customHeight="1" thickBot="1">
      <c r="A51" s="79"/>
      <c r="B51" s="79"/>
      <c r="C51" s="69" t="s">
        <v>93</v>
      </c>
      <c r="D51" s="80">
        <f>Bilance!H20</f>
        <v>0</v>
      </c>
      <c r="E51" s="71" t="s">
        <v>8</v>
      </c>
      <c r="F51" s="79"/>
      <c r="G51" s="23"/>
      <c r="H51" s="35" t="b">
        <f t="shared" si="0"/>
        <v>0</v>
      </c>
      <c r="I51" s="23"/>
      <c r="J51" s="23"/>
      <c r="K51" s="23"/>
      <c r="L51" s="23"/>
      <c r="M51" s="23"/>
      <c r="N51" s="23"/>
      <c r="O51" s="23"/>
      <c r="P51" s="23"/>
      <c r="Q51" s="23"/>
      <c r="R51" s="79"/>
      <c r="S51" s="79"/>
      <c r="T51" s="79"/>
    </row>
    <row r="52" spans="1:20" s="81" customFormat="1" ht="15.75" thickBot="1">
      <c r="A52" s="79"/>
      <c r="B52" s="79"/>
      <c r="C52" s="69" t="s">
        <v>94</v>
      </c>
      <c r="D52" s="80">
        <f>Bilance!I20</f>
        <v>0</v>
      </c>
      <c r="E52" s="71" t="s">
        <v>8</v>
      </c>
      <c r="F52" s="79"/>
      <c r="G52" s="23"/>
      <c r="H52" s="35" t="b">
        <f t="shared" si="0"/>
        <v>0</v>
      </c>
      <c r="I52" s="23"/>
      <c r="J52" s="23"/>
      <c r="K52" s="23"/>
      <c r="L52" s="23"/>
      <c r="M52" s="23"/>
      <c r="N52" s="23"/>
      <c r="O52" s="23"/>
      <c r="P52" s="23"/>
      <c r="Q52" s="23"/>
      <c r="R52" s="79"/>
      <c r="S52" s="79"/>
      <c r="T52" s="79"/>
    </row>
    <row r="53" spans="1:20" s="81" customFormat="1" ht="15.75" thickBot="1">
      <c r="A53" s="79"/>
      <c r="B53" s="79"/>
      <c r="C53" s="72" t="s">
        <v>95</v>
      </c>
      <c r="D53" s="80">
        <f>D51-D52</f>
        <v>0</v>
      </c>
      <c r="E53" s="71" t="s">
        <v>8</v>
      </c>
      <c r="F53" s="79"/>
      <c r="G53" s="23"/>
      <c r="H53" s="35" t="b">
        <f t="shared" si="0"/>
        <v>0</v>
      </c>
      <c r="I53" s="23"/>
      <c r="J53" s="23"/>
      <c r="K53" s="23"/>
      <c r="L53" s="23"/>
      <c r="M53" s="23"/>
      <c r="N53" s="23"/>
      <c r="O53" s="23"/>
      <c r="P53" s="23"/>
      <c r="Q53" s="23"/>
      <c r="R53" s="79"/>
      <c r="S53" s="79"/>
      <c r="T53" s="79"/>
    </row>
    <row r="54" spans="1:20" s="81" customFormat="1">
      <c r="A54" s="79"/>
      <c r="B54" s="79"/>
      <c r="C54" s="72" t="s">
        <v>95</v>
      </c>
      <c r="D54" s="78">
        <f>IFERROR(D53/D51,0)</f>
        <v>0</v>
      </c>
      <c r="E54" s="79" t="s">
        <v>96</v>
      </c>
      <c r="F54" s="79"/>
      <c r="G54" s="23"/>
      <c r="H54" s="35" t="b">
        <f t="shared" si="0"/>
        <v>0</v>
      </c>
      <c r="I54" s="23"/>
      <c r="J54" s="23"/>
      <c r="K54" s="23"/>
      <c r="L54" s="23"/>
      <c r="M54" s="23"/>
      <c r="N54" s="23"/>
      <c r="O54" s="23"/>
      <c r="P54" s="23"/>
      <c r="Q54" s="23"/>
      <c r="R54" s="79"/>
      <c r="S54" s="79"/>
      <c r="T54" s="79"/>
    </row>
    <row r="55" spans="1:20" s="81" customFormat="1">
      <c r="A55" s="79"/>
      <c r="B55" s="79"/>
      <c r="C55" s="79"/>
      <c r="D55" s="79"/>
      <c r="E55" s="79"/>
      <c r="F55" s="79"/>
      <c r="G55" s="23"/>
      <c r="H55" s="35" t="b">
        <f t="shared" si="0"/>
        <v>0</v>
      </c>
      <c r="I55" s="23"/>
      <c r="J55" s="23"/>
      <c r="K55" s="23"/>
      <c r="L55" s="23"/>
      <c r="M55" s="23"/>
      <c r="N55" s="23"/>
      <c r="O55" s="23"/>
      <c r="P55" s="23"/>
      <c r="Q55" s="23"/>
      <c r="R55" s="79"/>
      <c r="S55" s="79"/>
      <c r="T55" s="79"/>
    </row>
    <row r="56" spans="1:20">
      <c r="A56" s="20"/>
      <c r="B56" s="10" t="s">
        <v>16</v>
      </c>
      <c r="C56" s="20"/>
      <c r="D56" s="20"/>
      <c r="E56" s="20"/>
      <c r="F56" s="20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0"/>
      <c r="S56" s="20"/>
      <c r="T56" s="20"/>
    </row>
  </sheetData>
  <sheetProtection algorithmName="SHA-512" hashValue="Pr3HRvQE0QyLI9wBcfeaUW27QF7oDAfssW2uu25TKw5Suz0cavOKS3dzrpcGl7mb7InUp7YXNhurZ53i2Fi+SA==" saltValue="c186/JBmdBmjvELfHUDktQ==" spinCount="100000" sheet="1" objects="1" scenarios="1"/>
  <mergeCells count="1">
    <mergeCell ref="G1:G3"/>
  </mergeCells>
  <conditionalFormatting sqref="F4:F8 F10:F14 F16:F20 F22:F26 F28:F32 F35:F38 F40">
    <cfRule type="cellIs" dxfId="54" priority="3" operator="notEqual">
      <formula>"OK"</formula>
    </cfRule>
  </conditionalFormatting>
  <conditionalFormatting sqref="F41:G41">
    <cfRule type="expression" dxfId="53" priority="1">
      <formula>$F$41&lt;&gt;""</formula>
    </cfRule>
  </conditionalFormatting>
  <dataValidations count="15">
    <dataValidation type="whole" allowBlank="1" showInputMessage="1" showErrorMessage="1" prompt="1 - 365" sqref="E38" xr:uid="{E15C2709-FCCD-43E9-824D-913B43200C17}">
      <formula1>1</formula1>
      <formula2>365</formula2>
    </dataValidation>
    <dataValidation type="whole" allowBlank="1" showInputMessage="1" showErrorMessage="1" prompt="7-500 W" sqref="E26" xr:uid="{6323343F-0CEF-4CFE-861E-A4D069008189}">
      <formula1>RtuťovkaMin</formula1>
      <formula2>RtuťovkaMax</formula2>
    </dataValidation>
    <dataValidation allowBlank="1" showErrorMessage="1" prompt="5-500 W" sqref="D27" xr:uid="{6D53B3CD-087D-4500-81CE-7A67A39B095C}"/>
    <dataValidation allowBlank="1" showErrorMessage="1" prompt="4-500 W" sqref="D21" xr:uid="{F6425F64-D7B1-4CCC-B36D-2E15AD330EC6}"/>
    <dataValidation allowBlank="1" showErrorMessage="1" prompt="30-500 W" sqref="D15" xr:uid="{81F05371-A05A-4900-A7E5-5357F75935C5}"/>
    <dataValidation type="whole" operator="greaterThan" allowBlank="1" showErrorMessage="1" prompt="0-500 kusů" sqref="E5 E23 E11 E17 E29" xr:uid="{10E3E62B-E2D1-4656-B509-877D2A2538B7}">
      <formula1>0</formula1>
    </dataValidation>
    <dataValidation type="whole" allowBlank="1" showInputMessage="1" showErrorMessage="1" sqref="E13 E7 E19 E25 E31" xr:uid="{B3EE046C-E2C1-42C4-A0CB-F259AA973423}">
      <formula1>0</formula1>
      <formula2>10000000</formula2>
    </dataValidation>
    <dataValidation allowBlank="1" showErrorMessage="1" prompt="40-500 W" sqref="D9" xr:uid="{8A8F6F1B-0931-48C7-8C68-91410AA68232}"/>
    <dataValidation type="whole" allowBlank="1" showInputMessage="1" showErrorMessage="1" prompt="5-500 W" sqref="E32" xr:uid="{38C032A6-99F6-4F04-9A32-BE0FD2376927}">
      <formula1>CFLMin</formula1>
      <formula2>CFLMax</formula2>
    </dataValidation>
    <dataValidation type="whole" allowBlank="1" showInputMessage="1" showErrorMessage="1" prompt="4-500 W" sqref="E20" xr:uid="{EA9C8515-1A37-4DE8-B089-C8DAE1673A01}">
      <formula1>ZářivkaMin</formula1>
      <formula2>ZářivkaMax</formula2>
    </dataValidation>
    <dataValidation type="whole" allowBlank="1" showInputMessage="1" showErrorMessage="1" prompt="30-500 W" sqref="E14" xr:uid="{FFE0C0F7-E141-42B9-B537-1C4133CC99CF}">
      <formula1>HalogenMin</formula1>
      <formula2>HalogenMax</formula2>
    </dataValidation>
    <dataValidation type="whole" allowBlank="1" showInputMessage="1" showErrorMessage="1" prompt="40-1000 W" sqref="E8" xr:uid="{62A2618B-8C17-4E39-9B24-E157498FCF8B}">
      <formula1>ŽárovkaMin</formula1>
      <formula2>ŽárovkaMax</formula2>
    </dataValidation>
    <dataValidation type="whole" allowBlank="1" showInputMessage="1" showErrorMessage="1" sqref="E36" xr:uid="{D11054F1-2AB2-4448-B2BE-D82B8B8A6A90}">
      <formula1>0</formula1>
      <formula2>100000000</formula2>
    </dataValidation>
    <dataValidation type="decimal" allowBlank="1" showInputMessage="1" showErrorMessage="1" prompt="0 - 24" sqref="E37" xr:uid="{A528567E-2EC3-4D68-A7B8-46C7B5B2076D}">
      <formula1>0</formula1>
      <formula2>24</formula2>
    </dataValidation>
    <dataValidation type="list" allowBlank="1" showInputMessage="1" showErrorMessage="1" sqref="E6 E40 E35 E28 E22 E16 E4 E10 E12 E18 E24 E30" xr:uid="{0B5FA6FF-3928-464A-BB13-BC1ED933AB11}">
      <formula1>"ano,ne"</formula1>
    </dataValidation>
  </dataValidations>
  <pageMargins left="0.7" right="0.7" top="0.78740157499999996" bottom="0.78740157499999996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GoHome">
                <anchor moveWithCells="1" sizeWithCells="1">
                  <from>
                    <xdr:col>3</xdr:col>
                    <xdr:colOff>990600</xdr:colOff>
                    <xdr:row>0</xdr:row>
                    <xdr:rowOff>76200</xdr:rowOff>
                  </from>
                  <to>
                    <xdr:col>4</xdr:col>
                    <xdr:colOff>1219200</xdr:colOff>
                    <xdr:row>1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4" name="Button 2">
              <controlPr defaultSize="0" print="0" autoFill="0" autoPict="0" macro="[0]!GoHome">
                <anchor moveWithCells="1" sizeWithCells="1">
                  <from>
                    <xdr:col>2</xdr:col>
                    <xdr:colOff>0</xdr:colOff>
                    <xdr:row>40</xdr:row>
                    <xdr:rowOff>95250</xdr:rowOff>
                  </from>
                  <to>
                    <xdr:col>2</xdr:col>
                    <xdr:colOff>1438275</xdr:colOff>
                    <xdr:row>40</xdr:row>
                    <xdr:rowOff>457200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5" r:id="rId5" name="Button 3">
              <controlPr defaultSize="0" print="0" autoFill="0" autoPict="0" macro="[0]!List2.ResetMe">
                <anchor moveWithCells="1" sizeWithCells="1">
                  <from>
                    <xdr:col>2</xdr:col>
                    <xdr:colOff>2590800</xdr:colOff>
                    <xdr:row>0</xdr:row>
                    <xdr:rowOff>76200</xdr:rowOff>
                  </from>
                  <to>
                    <xdr:col>3</xdr:col>
                    <xdr:colOff>876300</xdr:colOff>
                    <xdr:row>1</xdr:row>
                    <xdr:rowOff>114300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72DB0D-B106-48E8-B48F-63FF58DC3C35}">
  <sheetPr codeName="List5"/>
  <dimension ref="A1:T49"/>
  <sheetViews>
    <sheetView workbookViewId="0">
      <pane ySplit="2" topLeftCell="A3" activePane="bottomLeft" state="frozen"/>
      <selection pane="bottomLeft" activeCell="E5" sqref="E5"/>
    </sheetView>
  </sheetViews>
  <sheetFormatPr defaultColWidth="0" defaultRowHeight="15" zeroHeight="1"/>
  <cols>
    <col min="1" max="1" width="3.28515625" style="14" customWidth="1"/>
    <col min="2" max="2" width="9.140625" style="14" customWidth="1"/>
    <col min="3" max="3" width="53.5703125" style="14" customWidth="1"/>
    <col min="4" max="4" width="20.7109375" style="14" customWidth="1"/>
    <col min="5" max="5" width="25" style="14" customWidth="1"/>
    <col min="6" max="6" width="52.5703125" style="96" customWidth="1"/>
    <col min="7" max="7" width="10.85546875" style="17" customWidth="1"/>
    <col min="8" max="8" width="10.85546875" style="17" hidden="1" customWidth="1"/>
    <col min="9" max="9" width="14.42578125" style="17" hidden="1" customWidth="1"/>
    <col min="10" max="11" width="10.85546875" style="17" hidden="1" customWidth="1"/>
    <col min="12" max="14" width="12" style="17" hidden="1" customWidth="1"/>
    <col min="15" max="15" width="9.140625" style="17" hidden="1" customWidth="1"/>
    <col min="16" max="16384" width="9.140625" style="14" hidden="1"/>
  </cols>
  <sheetData>
    <row r="1" spans="2:20" ht="26.25">
      <c r="B1" s="15" t="s">
        <v>140</v>
      </c>
      <c r="D1" s="16"/>
      <c r="E1" s="95"/>
      <c r="G1" s="97"/>
      <c r="H1" s="97"/>
    </row>
    <row r="2" spans="2:20" ht="27" thickBot="1">
      <c r="B2" s="18"/>
      <c r="C2" s="19"/>
      <c r="D2" s="18"/>
      <c r="E2" s="98"/>
      <c r="G2" s="97"/>
      <c r="H2" s="97"/>
    </row>
    <row r="3" spans="2:20" s="96" customFormat="1" ht="36" customHeight="1" thickBot="1">
      <c r="B3" s="138" t="s">
        <v>36</v>
      </c>
      <c r="C3" s="170" t="s">
        <v>141</v>
      </c>
      <c r="D3" s="47"/>
      <c r="E3" s="171"/>
      <c r="F3" s="156"/>
      <c r="G3" s="146"/>
      <c r="H3" s="153" t="s">
        <v>17</v>
      </c>
      <c r="I3" s="153" t="s">
        <v>18</v>
      </c>
      <c r="J3" s="153" t="s">
        <v>139</v>
      </c>
      <c r="K3" s="153" t="s">
        <v>229</v>
      </c>
      <c r="L3" s="153" t="s">
        <v>230</v>
      </c>
      <c r="M3" s="153" t="s">
        <v>251</v>
      </c>
      <c r="N3" s="153" t="s">
        <v>252</v>
      </c>
      <c r="O3" s="153" t="s">
        <v>19</v>
      </c>
      <c r="P3" s="153" t="s">
        <v>20</v>
      </c>
      <c r="Q3" s="150"/>
      <c r="R3" s="150"/>
      <c r="S3" s="150"/>
      <c r="T3" s="150"/>
    </row>
    <row r="4" spans="2:20" s="96" customFormat="1" ht="36" customHeight="1" thickBot="1">
      <c r="B4" s="139" t="s">
        <v>3</v>
      </c>
      <c r="C4" s="140" t="s">
        <v>142</v>
      </c>
      <c r="D4" s="141" t="s">
        <v>143</v>
      </c>
      <c r="E4" s="158"/>
      <c r="F4" s="164" t="str" cm="1">
        <f t="array" ref="F4">IFERROR(INDEX(P4:R4,1,O4),"")</f>
        <v>Vyberte typ zdroje.</v>
      </c>
      <c r="G4" s="146"/>
      <c r="H4" s="96" t="b">
        <v>1</v>
      </c>
      <c r="I4" s="96" t="str">
        <f>IF(AND(H4,K4),E4,"")</f>
        <v/>
      </c>
      <c r="J4" s="96">
        <f>IF(K4,ROW(E5),ROW(E4))</f>
        <v>4</v>
      </c>
      <c r="K4" s="96" t="b">
        <f>NOT(ISBLANK(E4))</f>
        <v>0</v>
      </c>
      <c r="L4" s="96" t="b">
        <f t="shared" ref="L4" si="0">K4</f>
        <v>0</v>
      </c>
      <c r="O4" s="96" cm="1">
        <f t="array" ref="O4">myidx(AND(K4),ISBLANK(E4))</f>
        <v>2</v>
      </c>
      <c r="P4" s="96" t="s">
        <v>21</v>
      </c>
      <c r="Q4" s="96" t="s">
        <v>199</v>
      </c>
    </row>
    <row r="5" spans="2:20" s="96" customFormat="1" ht="36" customHeight="1" thickBot="1">
      <c r="B5" s="139" t="s">
        <v>6</v>
      </c>
      <c r="C5" s="140" t="s">
        <v>145</v>
      </c>
      <c r="D5" s="142" t="s">
        <v>143</v>
      </c>
      <c r="E5" s="159"/>
      <c r="F5" s="165" t="str" cm="1">
        <f t="array" ref="F5">IFERROR(INDEX(P5:R5,1,O5),"")</f>
        <v>Vyberte období.</v>
      </c>
      <c r="G5" s="146"/>
      <c r="H5" s="147" t="b">
        <f>AND(L4,H4)</f>
        <v>0</v>
      </c>
      <c r="I5" s="96" t="str">
        <f>IF(AND(H5,K5),E5,"")</f>
        <v/>
      </c>
      <c r="J5" s="145">
        <f>IF(K5,IF(ZdrojPočetPaliv=1,ROW(E7)+IF(ZdrojPočetPaliv=6,0,1),ROW(E6)),ROW(E5))</f>
        <v>5</v>
      </c>
      <c r="K5" s="96" t="b">
        <f>NOT(ISBLANK(E5))</f>
        <v>0</v>
      </c>
      <c r="L5" s="96" t="b">
        <f>AND(K5,$L$4:L4)</f>
        <v>0</v>
      </c>
      <c r="O5" s="96" cm="1">
        <f t="array" ref="O5">myidx(AND(K5),ISBLANK(E5))</f>
        <v>2</v>
      </c>
      <c r="P5" s="96" t="s">
        <v>21</v>
      </c>
      <c r="Q5" s="96" t="s">
        <v>200</v>
      </c>
    </row>
    <row r="6" spans="2:20" s="96" customFormat="1" ht="36" hidden="1" customHeight="1" thickBot="1">
      <c r="B6" s="139" t="s">
        <v>9</v>
      </c>
      <c r="C6" s="140" t="s">
        <v>147</v>
      </c>
      <c r="D6" s="142" t="s">
        <v>143</v>
      </c>
      <c r="E6" s="159"/>
      <c r="F6" s="165" t="str" cm="1">
        <f t="array" ref="F6">IF(O6&gt;0,INDEX(P6:R6,1,O6),"")</f>
        <v>Vyberte palivo.</v>
      </c>
      <c r="G6" s="146"/>
      <c r="H6" s="147" t="b">
        <f>AND(L5,H5,ZdrojPočetPaliv&gt;1)</f>
        <v>0</v>
      </c>
      <c r="I6" s="145" t="str" cm="1">
        <f t="array" ref="I6">IF(K6,IF(ZdrojPočetPaliv=1,INDEX(ParametryZdroje!$B$8:$G$8,1,ZdrojIdxOld),E6),"")</f>
        <v/>
      </c>
      <c r="J6" s="145">
        <f>IF(K6,IF(ZdrojIdxOld=6,ROW(E7),ROW(E8)),ROW(E6))</f>
        <v>6</v>
      </c>
      <c r="K6" s="96" t="b">
        <f>OR(ZdrojPočetPaliv=1,AND(ZdrojPočetPaliv&gt;1,INDEX(ParametryZdroje!$B$6:$G$6,1,ZdrojIdxOld)))</f>
        <v>0</v>
      </c>
      <c r="L6" s="96" t="b">
        <f>AND(K6,$L$4:L5)</f>
        <v>0</v>
      </c>
      <c r="O6" s="96" cm="1">
        <f t="array" ref="O6">myidx(AND(K6),ISBLANK(E6),AND(ZdrojPočetPaliv&gt;1,NOT(INDEX(ParametryZdroje!$B$6:$G$6,1,ZdrojIdxOld))))</f>
        <v>2</v>
      </c>
      <c r="P6" s="96" t="s">
        <v>21</v>
      </c>
      <c r="Q6" s="96" t="str">
        <f>IF(ZdrojIdxOld=6,"Vyberte palivo zdroje SZT. Pokud nevíte, zvolte ""zemní plyn"".","Vyberte palivo.")</f>
        <v>Vyberte palivo.</v>
      </c>
      <c r="R6" s="96" t="s">
        <v>201</v>
      </c>
    </row>
    <row r="7" spans="2:20" s="96" customFormat="1" ht="36" hidden="1" customHeight="1" thickBot="1">
      <c r="B7" s="139" t="s">
        <v>12</v>
      </c>
      <c r="C7" s="141" t="s">
        <v>149</v>
      </c>
      <c r="D7" s="142" t="s">
        <v>143</v>
      </c>
      <c r="E7" s="160"/>
      <c r="F7" s="165" t="str" cm="1">
        <f t="array" ref="F7">IFERROR(INDEX(P7:R7,1,O7),"")</f>
        <v>OK</v>
      </c>
      <c r="G7" s="146"/>
      <c r="H7" s="147" t="b">
        <f>AND(L6,ZdrojIdxOld=6,OR(H6,ZdrojPočetPaliv=1))</f>
        <v>0</v>
      </c>
      <c r="I7" s="96" t="str">
        <f>IF(AND(K7,ZdrojIdxOld=6),E7,"")</f>
        <v/>
      </c>
      <c r="J7" s="145">
        <f>IF(K7,ROW(E8),ROW(E7))</f>
        <v>8</v>
      </c>
      <c r="K7" s="96" t="b">
        <f>OR(ZdrojIdxOld&lt;&gt;6,NOT(ISBLANK(E7)))</f>
        <v>1</v>
      </c>
      <c r="L7" s="96" t="b">
        <f>AND(K7,$L$4:L6)</f>
        <v>0</v>
      </c>
      <c r="O7" s="96" cm="1">
        <f t="array" ref="O7">myidx(AND(K7),ISBLANK(E7))</f>
        <v>1</v>
      </c>
      <c r="P7" s="96" t="s">
        <v>21</v>
      </c>
      <c r="Q7" s="96" t="s">
        <v>255</v>
      </c>
    </row>
    <row r="8" spans="2:20" s="96" customFormat="1" ht="36" customHeight="1" thickBot="1">
      <c r="B8" s="139" t="s">
        <v>14</v>
      </c>
      <c r="C8" s="140" t="str">
        <f>"Jaká je spotřeba " &amp; ParametryZdroje!N6  &amp; " za jeden rok?"</f>
        <v>Jaká je spotřeba  za jeden rok?</v>
      </c>
      <c r="D8" s="141" t="str">
        <f>ParametryZdroje!N5</f>
        <v/>
      </c>
      <c r="E8" s="161"/>
      <c r="F8" s="165" t="str" cm="1">
        <f t="array" ref="F8">IFERROR(INDEX(P8:S8,1,O8),"")</f>
        <v>Zadejte spotřebu.</v>
      </c>
      <c r="G8" s="146"/>
      <c r="H8" s="147" t="b">
        <f>AND(L7,OR(ZdrojPočetPaliv=1,H6),OR(ZdrojIdxOld&lt;&gt;6,H7))</f>
        <v>0</v>
      </c>
      <c r="I8" s="145">
        <f>H8*K8*E8</f>
        <v>0</v>
      </c>
      <c r="J8" s="145">
        <f>IF(K8,IF(ZdrojIdxOld&lt;5,ROW(E9),IF(ZdrojIdxOld=5,ROW(E11),ROW(E16))),ROW(E8))</f>
        <v>8</v>
      </c>
      <c r="K8" s="145" t="b">
        <f>AND(ISNUMBER(E8),IF(ISNUMBER(E8),E8&gt;0,FALSE))</f>
        <v>0</v>
      </c>
      <c r="L8" s="96" t="b">
        <f>AND(K8,$L$4:L7)</f>
        <v>0</v>
      </c>
      <c r="O8" s="96" cm="1">
        <f t="array" ref="O8">myidx(AND(K8),ISBLANK(E8),NOT(ISNUMBER(E8)),E8&lt;=0)</f>
        <v>2</v>
      </c>
      <c r="P8" s="96" t="s">
        <v>21</v>
      </c>
      <c r="Q8" s="96" t="s">
        <v>215</v>
      </c>
      <c r="R8" s="96" t="s">
        <v>23</v>
      </c>
      <c r="S8" s="96" t="s">
        <v>216</v>
      </c>
    </row>
    <row r="9" spans="2:20" s="96" customFormat="1" ht="36" customHeight="1" thickBot="1">
      <c r="B9" s="139" t="s">
        <v>150</v>
      </c>
      <c r="C9" s="140" t="s">
        <v>151</v>
      </c>
      <c r="D9" s="141" t="s">
        <v>89</v>
      </c>
      <c r="E9" s="33"/>
      <c r="F9" s="165" t="str" cm="1">
        <f t="array" ref="F9">IFERROR(INDEX(P9:R9,1,O9),"")</f>
        <v>Vyberte ano nebo ne.</v>
      </c>
      <c r="G9" s="146"/>
      <c r="H9" s="147" t="b">
        <f>AND(L8,H8,ZdrojIdxOld&lt;5)</f>
        <v>0</v>
      </c>
      <c r="I9" s="96" t="str">
        <f>IF(AND(H9,K9),E9,"")</f>
        <v/>
      </c>
      <c r="J9" s="145">
        <f>IF(K9,IF(E9="ano",ROW(E10),ROW(E13)),ROW(E9))</f>
        <v>9</v>
      </c>
      <c r="K9" s="145" t="b">
        <f>OR(ZdrojIdxOld&gt;=5,E9="ano",E9="ne")</f>
        <v>0</v>
      </c>
      <c r="L9" s="96" t="b">
        <f>AND(K9,$L$4:L8)</f>
        <v>0</v>
      </c>
      <c r="O9" s="145" cm="1">
        <f t="array" ref="O9">myidx(AND(K9),ISBLANK(E9))</f>
        <v>2</v>
      </c>
      <c r="P9" s="96" t="s">
        <v>21</v>
      </c>
      <c r="Q9" s="96" t="s">
        <v>217</v>
      </c>
    </row>
    <row r="10" spans="2:20" s="96" customFormat="1" ht="36" hidden="1" customHeight="1" thickBot="1">
      <c r="B10" s="139" t="s">
        <v>152</v>
      </c>
      <c r="C10" s="140" t="s">
        <v>153</v>
      </c>
      <c r="D10" s="141" t="s">
        <v>154</v>
      </c>
      <c r="E10" s="166"/>
      <c r="F10" s="165" t="str" cm="1">
        <f t="array" ref="F10">IFERROR(INDEX(P10:T10,1,O10),"")</f>
        <v>Zadejte účinnost.</v>
      </c>
      <c r="G10" s="146"/>
      <c r="H10" s="147" t="b">
        <f>AND(L9,H9,E9="ano")</f>
        <v>0</v>
      </c>
      <c r="I10" s="145">
        <f>IF(AND(ZdrojIdxOld&lt;5,E9="ano"),H10*K10*E10,IF(AND(ZdrojIdxOld&lt;&gt;5,E9="ne"),ETAZdrOld,0))</f>
        <v>0</v>
      </c>
      <c r="J10" s="145">
        <f>IF(K10,ROW(E13),ROW(E10))</f>
        <v>10</v>
      </c>
      <c r="K10" s="145" t="b">
        <f>OR(ZdrojIdxOld&gt;=5,E9="ne",AND(ISNUMBER(E10),IF(ISNUMBER(E10),AND(E10&gt;=0,E10&lt;=0.995),FALSE)))</f>
        <v>0</v>
      </c>
      <c r="L10" s="96" t="b">
        <f>AND(K10,$L$4:L9)</f>
        <v>0</v>
      </c>
      <c r="O10" s="96" cm="1">
        <f t="array" ref="O10">myidx(AND(K10),ISBLANK(E10),NOT(ISNUMBER(E10)),E10&lt;0,E10&gt;0.995)</f>
        <v>2</v>
      </c>
      <c r="P10" s="154" t="s">
        <v>21</v>
      </c>
      <c r="Q10" s="154" t="s">
        <v>218</v>
      </c>
      <c r="R10" s="154" t="s">
        <v>23</v>
      </c>
      <c r="S10" s="154" t="str">
        <f>"Účinnost musí být alespoň " &amp; 100 * MinEtaZdrOld &amp; " %."</f>
        <v>Účinnost musí být alespoň 5 %.</v>
      </c>
      <c r="T10" s="154" t="str">
        <f>"Účinnost může být maximálně " &amp; 100 * MaxEtaZdrOld &amp; " %."</f>
        <v>Účinnost může být maximálně 95 %.</v>
      </c>
    </row>
    <row r="11" spans="2:20" s="96" customFormat="1" ht="36" hidden="1" customHeight="1" thickBot="1">
      <c r="B11" s="139" t="s">
        <v>155</v>
      </c>
      <c r="C11" s="140" t="s">
        <v>156</v>
      </c>
      <c r="D11" s="143" t="s">
        <v>11</v>
      </c>
      <c r="E11" s="33"/>
      <c r="F11" s="165" t="str" cm="1">
        <f t="array" ref="F11">IFERROR(INDEX(P11:R11,1,O11),"")</f>
        <v>OK</v>
      </c>
      <c r="G11" s="146"/>
      <c r="H11" s="147" t="b">
        <f>AND(L8,H8,ZdrojIdxOld=5)</f>
        <v>0</v>
      </c>
      <c r="I11" s="96" t="str">
        <f>IF(AND(H11,K11),E11,"")</f>
        <v/>
      </c>
      <c r="J11" s="145">
        <f>IF(K11,IF(E11="ano",ROW(E12),ROW(E13)),ROW(E11))</f>
        <v>13</v>
      </c>
      <c r="K11" s="145" t="b">
        <f>OR(ZdrojIdxOld&lt;&gt;5,E11="ano",E11="ne")</f>
        <v>1</v>
      </c>
      <c r="L11" s="96" t="b">
        <f>AND(K11,$L$4:L10)</f>
        <v>0</v>
      </c>
      <c r="O11" s="145" cm="1">
        <f t="array" ref="O11">myidx(AND(K11),ISBLANK(E11))</f>
        <v>1</v>
      </c>
      <c r="P11" s="96" t="s">
        <v>21</v>
      </c>
      <c r="Q11" s="96" t="s">
        <v>217</v>
      </c>
    </row>
    <row r="12" spans="2:20" s="96" customFormat="1" ht="36" hidden="1" customHeight="1" thickBot="1">
      <c r="B12" s="139" t="s">
        <v>157</v>
      </c>
      <c r="C12" s="27" t="s">
        <v>158</v>
      </c>
      <c r="D12" s="141" t="s">
        <v>159</v>
      </c>
      <c r="E12" s="159"/>
      <c r="F12" s="165" t="str" cm="1">
        <f t="array" ref="F12">IFERROR(INDEX(P12:V12,1,O12),"")</f>
        <v>OK</v>
      </c>
      <c r="G12" s="146"/>
      <c r="H12" s="147" t="b">
        <f>AND(H11,K11,L11,E11="ano")</f>
        <v>0</v>
      </c>
      <c r="I12" s="145">
        <f>IF(AND(E11="ano",ZdrojIdxOld=5),H12*K12*E12,IF(AND(E11="ne",ZdrojIdxOld=5),ETAZdrOld,0))</f>
        <v>0</v>
      </c>
      <c r="J12" s="145">
        <f>IF(K12,ROW(E13),ROW(E12))</f>
        <v>13</v>
      </c>
      <c r="K12" s="145" t="b">
        <f>OR(ZdrojIdxOld&lt;&gt;5,E11="ne",AND(ISNUMBER(E12),IF(ISNUMBER(E12),AND(E12&gt;=1,E12&lt;=6),FALSE)))</f>
        <v>1</v>
      </c>
      <c r="L12" s="96" t="b">
        <f>AND(K12,$L$4:L11)</f>
        <v>0</v>
      </c>
      <c r="O12" s="96" cm="1">
        <f t="array" ref="O12">IF(E11="ne",1,myidx(K12,ISBLANK(E12),NOT(ISNUMBER(E12)),E12&lt;1,E12&gt;6))</f>
        <v>1</v>
      </c>
      <c r="P12" s="154" t="s">
        <v>21</v>
      </c>
      <c r="Q12" s="154" t="s">
        <v>219</v>
      </c>
      <c r="R12" s="154" t="s">
        <v>23</v>
      </c>
      <c r="S12" s="154" t="str">
        <f>"COP musí být alespoň " &amp; MinCOPTČOld &amp; "."</f>
        <v>COP musí být alespoň 1.</v>
      </c>
      <c r="T12" s="154" t="str">
        <f>"COP může být nejvýše " &amp; MaxCOPTČOld &amp; "."</f>
        <v>COP může být nejvýše 6.</v>
      </c>
    </row>
    <row r="13" spans="2:20" s="96" customFormat="1" ht="36" customHeight="1" thickBot="1">
      <c r="B13" s="139" t="s">
        <v>160</v>
      </c>
      <c r="C13" s="140" t="s">
        <v>161</v>
      </c>
      <c r="D13" s="141" t="s">
        <v>162</v>
      </c>
      <c r="E13" s="159"/>
      <c r="F13" s="165" t="str" cm="1">
        <f t="array" ref="F13">IFERROR(INDEX(P13:V13,1,O13),"")</f>
        <v>Zadejte instalovaný výkon.</v>
      </c>
      <c r="G13" s="146"/>
      <c r="H13" s="147" t="b">
        <f>AND(AND(ZdrojIdxOld&lt;6,L8,H8,L12),OR(AND(ZdrojIdxOld=5,L11,H11,IF(E11="ano",AND(L12,H12),TRUE)),AND(ZdrojIdxOld&lt;5,L8,H8,IF(E9="ano",AND(L10,H10),TRUE))))</f>
        <v>0</v>
      </c>
      <c r="I13" s="145">
        <f>H13*K13*E13</f>
        <v>0</v>
      </c>
      <c r="J13" s="145">
        <f>IF(K13,ROW(E16),ROW(E13))</f>
        <v>13</v>
      </c>
      <c r="K13" s="145" t="b">
        <f>OR(ZdrojIdxOld=6,AND(ISNUMBER(E13),IF(ISNUMBER(E13),E13&gt;0,FALSE)))</f>
        <v>0</v>
      </c>
      <c r="L13" s="96" t="b">
        <f>AND(K13,$L$4:L12)</f>
        <v>0</v>
      </c>
      <c r="O13" s="96" cm="1">
        <f t="array" ref="O13">myidx(AND(K13),ISBLANK(E13),NOT(ISNUMBER(E13)),E13&lt;=0)</f>
        <v>2</v>
      </c>
      <c r="P13" s="96" t="s">
        <v>21</v>
      </c>
      <c r="Q13" s="96" t="s">
        <v>22</v>
      </c>
      <c r="R13" s="96" t="s">
        <v>23</v>
      </c>
      <c r="S13" s="96" t="s">
        <v>220</v>
      </c>
    </row>
    <row r="14" spans="2:20" s="96" customFormat="1" ht="15.75" thickBot="1">
      <c r="B14" s="148"/>
      <c r="C14" s="148"/>
      <c r="D14" s="148"/>
      <c r="E14" s="163"/>
      <c r="F14" s="165"/>
      <c r="G14" s="146"/>
      <c r="H14" s="147" t="b">
        <f>H16</f>
        <v>0</v>
      </c>
      <c r="I14" s="145"/>
      <c r="J14" s="145"/>
      <c r="K14" s="145"/>
      <c r="L14" s="145"/>
      <c r="M14" s="145"/>
      <c r="N14" s="145"/>
      <c r="O14" s="145"/>
    </row>
    <row r="15" spans="2:20" s="96" customFormat="1" ht="36" customHeight="1" thickBot="1">
      <c r="B15" s="149" t="s">
        <v>76</v>
      </c>
      <c r="C15" s="170" t="s">
        <v>163</v>
      </c>
      <c r="D15" s="47"/>
      <c r="E15" s="171"/>
      <c r="F15" s="165"/>
      <c r="G15" s="146"/>
      <c r="H15" s="147" t="b">
        <f>H16</f>
        <v>0</v>
      </c>
      <c r="I15" s="145"/>
      <c r="J15" s="145"/>
      <c r="K15" s="145"/>
      <c r="L15" s="145"/>
      <c r="M15" s="145"/>
      <c r="N15" s="145"/>
      <c r="O15" s="145"/>
    </row>
    <row r="16" spans="2:20" s="96" customFormat="1" ht="36" customHeight="1" thickBot="1">
      <c r="B16" s="144" t="s">
        <v>104</v>
      </c>
      <c r="C16" s="140" t="s">
        <v>164</v>
      </c>
      <c r="D16" s="141" t="s">
        <v>143</v>
      </c>
      <c r="E16" s="159"/>
      <c r="F16" s="165" t="str" cm="1">
        <f t="array" ref="F16">IFERROR(INDEX(P16:R16,1,O16),"")</f>
        <v>Vyberte typ zdroje.</v>
      </c>
      <c r="G16" s="146"/>
      <c r="H16" s="147" t="b">
        <f>AND(L13,OR(AND(ZdrojIdxOld=6,H8),AND(ZdrojIdxOld&lt;6,H13)))</f>
        <v>0</v>
      </c>
      <c r="I16" s="96" t="str">
        <f>IF(AND(H16,K16),E16,"")</f>
        <v/>
      </c>
      <c r="J16" s="96">
        <f>IF(K16,IF(ZdrojIdxNew&lt;4,ROW(E17),ROW(E19)),ROW(E16))</f>
        <v>16</v>
      </c>
      <c r="K16" s="96" t="b">
        <f>NOT(ISBLANK(E16))</f>
        <v>0</v>
      </c>
      <c r="L16" s="96" t="b">
        <f t="shared" ref="L16" si="1">K16</f>
        <v>0</v>
      </c>
      <c r="O16" s="96" cm="1">
        <f t="array" ref="O16">myidx(AND(K16),ISBLANK(E16))</f>
        <v>2</v>
      </c>
      <c r="P16" s="96" t="s">
        <v>21</v>
      </c>
      <c r="Q16" s="96" t="s">
        <v>199</v>
      </c>
    </row>
    <row r="17" spans="2:20" s="96" customFormat="1" ht="36" hidden="1" customHeight="1" thickBot="1">
      <c r="B17" s="144" t="s">
        <v>81</v>
      </c>
      <c r="C17" s="140" t="s">
        <v>166</v>
      </c>
      <c r="D17" s="141" t="s">
        <v>89</v>
      </c>
      <c r="E17" s="33"/>
      <c r="F17" s="165" t="str" cm="1">
        <f t="array" ref="F17">IFERROR(INDEX(P17:R17,1,O17),"")</f>
        <v>Vyberte ano nebo ne.</v>
      </c>
      <c r="G17" s="146"/>
      <c r="H17" s="147" t="b">
        <f>AND(L16,H16,ZdrojIdxNew&lt;4)</f>
        <v>0</v>
      </c>
      <c r="I17" s="96" t="str">
        <f>IF(AND(H17,K17),E17,"")</f>
        <v/>
      </c>
      <c r="J17" s="145">
        <f>IF(K17,IF(E17="ano",ROW(E18),ROW(E19)),ROW(E17))</f>
        <v>17</v>
      </c>
      <c r="K17" s="145" t="b">
        <f>OR(ZdrojIdxNew=4,E17="ano",E17="ne")</f>
        <v>0</v>
      </c>
      <c r="L17" s="96" t="b">
        <f>AND(K17,$L$4:L16)</f>
        <v>0</v>
      </c>
      <c r="O17" s="145" cm="1">
        <f t="array" ref="O17">myidx(AND(K17),ISBLANK(E17))</f>
        <v>2</v>
      </c>
      <c r="P17" s="96" t="s">
        <v>21</v>
      </c>
      <c r="Q17" s="96" t="s">
        <v>217</v>
      </c>
    </row>
    <row r="18" spans="2:20" s="96" customFormat="1" ht="36" hidden="1" customHeight="1" thickBot="1">
      <c r="B18" s="144" t="s">
        <v>167</v>
      </c>
      <c r="C18" s="27" t="s">
        <v>153</v>
      </c>
      <c r="D18" s="141" t="s">
        <v>154</v>
      </c>
      <c r="E18" s="162"/>
      <c r="F18" s="165" t="str" cm="1">
        <f t="array" ref="F18">IF(M18,N18,IFERROR(INDEX(P18:T18,1,O18),""))</f>
        <v>Zadejte účinnost.</v>
      </c>
      <c r="G18" s="146"/>
      <c r="H18" s="147" t="b">
        <f>AND(H17,K17,L17,E17="ano")</f>
        <v>0</v>
      </c>
      <c r="I18" s="145">
        <f>IF(ZdrojIdxNew=4,0,IF(E17="ano",H18*K18*E18,EtaZdrNew))</f>
        <v>0</v>
      </c>
      <c r="J18" s="145">
        <f>IF(K18,ROW(E19),ROW(E18))</f>
        <v>18</v>
      </c>
      <c r="K18" s="145" t="b">
        <f>OR(ZdrojIdxNew=4,E17="ne",AND(ISNUMBER(E18),IF(ISNUMBER(E18),AND(E18&gt;=0.05,E18&lt;=1.11),FALSE)))</f>
        <v>0</v>
      </c>
      <c r="L18" s="96" t="b">
        <f>AND(K18,$L$4:L17)</f>
        <v>0</v>
      </c>
      <c r="M18" s="96" t="b">
        <f>AND(ZdrojIdxNew&lt;4,E17="ano",E18&lt;ParametryZdroje!B25,K18)</f>
        <v>0</v>
      </c>
      <c r="N18" s="96" t="str">
        <f>"Nově instalovaný kotel nesplňuje požadavek na účinnost dle vyhl. 264/2020 Sb., minimální účinnost je " &amp; ParametryZdroje!B25 * 100 &amp; " %."</f>
        <v>Nově instalovaný kotel nesplňuje požadavek na účinnost dle vyhl. 264/2020 Sb., minimální účinnost je 0 %.</v>
      </c>
      <c r="O18" s="96" cm="1">
        <f t="array" ref="O18">myidx(AND(K18),ISBLANK(E18),NOT(ISNUMBER(E18)),E18&lt;0.05,E18&gt;1.11)</f>
        <v>2</v>
      </c>
      <c r="P18" s="96" t="s">
        <v>21</v>
      </c>
      <c r="Q18" s="96" t="s">
        <v>218</v>
      </c>
      <c r="R18" s="96" t="s">
        <v>23</v>
      </c>
      <c r="S18" s="96" t="s">
        <v>257</v>
      </c>
      <c r="T18" s="96" t="s">
        <v>246</v>
      </c>
    </row>
    <row r="19" spans="2:20" s="96" customFormat="1" ht="36" customHeight="1" thickBot="1">
      <c r="B19" s="144" t="s">
        <v>168</v>
      </c>
      <c r="C19" s="27" t="s">
        <v>161</v>
      </c>
      <c r="D19" s="141" t="s">
        <v>162</v>
      </c>
      <c r="E19" s="169"/>
      <c r="F19" s="165" t="str" cm="1">
        <f t="array" ref="F19">IF(M19,N19,IFERROR(INDEX(P19:T19,1,O19),""))</f>
        <v>Zadejte výkon zdroje.</v>
      </c>
      <c r="G19" s="146"/>
      <c r="H19" s="147" t="b">
        <f>OR(AND(ZdrojIdxNew=4,H16,K16,L16),AND(ZdrojIdxNew&lt;4,E17="ne"),AND(ZdrojIdxNew&lt;4,E17="ano",H18,K18,L18))</f>
        <v>0</v>
      </c>
      <c r="I19" s="145">
        <f>H19*K19*E19</f>
        <v>0</v>
      </c>
      <c r="J19" s="145">
        <f>IF(K19,IF(ZdrojIdxNew=4,ROW(E20),ROW(E24)),ROW(E19))</f>
        <v>19</v>
      </c>
      <c r="K19" s="145" t="b">
        <f>AND(ISNUMBER(E19),IF(ISNUMBER(E19),E19&gt;0,FALSE))</f>
        <v>0</v>
      </c>
      <c r="L19" s="96" t="b">
        <f>AND(K19,$L$4:L18)</f>
        <v>0</v>
      </c>
      <c r="M19" s="96" t="b">
        <f>AND(L19,E19&gt;ParametryZdroje!B28)</f>
        <v>0</v>
      </c>
      <c r="N19" s="96" t="str">
        <f>"Nově instalovaný kotel na štěpku, pelety nebo brikety má vyšší příkon než " &amp; ParametryZdroje!B28 &amp; " MW, nesplňuje poždavek programu."</f>
        <v>Nově instalovaný kotel na štěpku, pelety nebo brikety má vyšší příkon než 0 MW, nesplňuje poždavek programu.</v>
      </c>
      <c r="O19" s="96" cm="1">
        <f t="array" ref="O19">myidx(K19,ISBLANK(E19),NOT(ISNUMBER(E19)),E19&lt;=0)</f>
        <v>2</v>
      </c>
      <c r="P19" s="96" t="s">
        <v>21</v>
      </c>
      <c r="Q19" s="96" t="s">
        <v>247</v>
      </c>
      <c r="R19" s="96" t="s">
        <v>23</v>
      </c>
      <c r="S19" s="96" t="s">
        <v>24</v>
      </c>
    </row>
    <row r="20" spans="2:20" s="96" customFormat="1" ht="36" customHeight="1" thickBot="1">
      <c r="B20" s="144" t="s">
        <v>169</v>
      </c>
      <c r="C20" s="140" t="s">
        <v>156</v>
      </c>
      <c r="D20" s="143" t="s">
        <v>11</v>
      </c>
      <c r="E20" s="33"/>
      <c r="F20" s="165" t="str" cm="1">
        <f t="array" ref="F20">IFERROR(INDEX(P20:R20,1,O20),"")</f>
        <v>OK</v>
      </c>
      <c r="G20" s="146"/>
      <c r="H20" s="147" t="b">
        <f>AND(ZdrojIdxNew=4,H19,K19,L19)</f>
        <v>0</v>
      </c>
      <c r="I20" s="96" t="str">
        <f>IF(AND(H20,K20),E20,"")</f>
        <v/>
      </c>
      <c r="J20" s="145">
        <f>IF(K20,IF(E20="ano",ROW(E21),ROW(E24)),ROW(E20))</f>
        <v>24</v>
      </c>
      <c r="K20" s="145" t="b">
        <f>OR(ZdrojIdxOld&lt;&gt;5,E20="ano",E20="ne")</f>
        <v>1</v>
      </c>
      <c r="L20" s="96" t="b">
        <f>AND(K20,$L$4:L19)</f>
        <v>0</v>
      </c>
      <c r="O20" s="145" cm="1">
        <f t="array" ref="O20">myidx(AND(K20),ISBLANK(E20))</f>
        <v>1</v>
      </c>
      <c r="P20" s="96" t="s">
        <v>21</v>
      </c>
      <c r="Q20" s="96" t="s">
        <v>217</v>
      </c>
    </row>
    <row r="21" spans="2:20" s="96" customFormat="1" ht="36" customHeight="1" thickBot="1">
      <c r="B21" s="144" t="s">
        <v>170</v>
      </c>
      <c r="C21" s="27" t="s">
        <v>158</v>
      </c>
      <c r="D21" s="141" t="s">
        <v>159</v>
      </c>
      <c r="E21" s="159"/>
      <c r="F21" s="165" t="str" cm="1">
        <f t="array" ref="F21">IF(M21,N21,IFERROR(INDEX(P21:T21,1,O21),""))</f>
        <v>OK</v>
      </c>
      <c r="G21" s="146"/>
      <c r="H21" s="147" t="b">
        <f>AND(L20,H20,ZdrojIdxNew=4,E20="ano")</f>
        <v>0</v>
      </c>
      <c r="I21" s="145">
        <f>IF(ZdrojIdxNew=4,IF(E20="ano",H21*K21*E21,EtaZdrNew),0)</f>
        <v>0</v>
      </c>
      <c r="J21" s="145">
        <f>IF(K21,ROW(E24),ROW(E21))</f>
        <v>24</v>
      </c>
      <c r="K21" s="145" t="b">
        <f>OR(ZdrojIdxNew&lt;4,E20="ne",AND(ISNUMBER(E21),IF(ISNUMBER(E21),AND(E21&gt;=1,E21&lt;=6),FALSE)))</f>
        <v>1</v>
      </c>
      <c r="L21" s="96" t="b">
        <f>AND(K21,$L$4:L20)</f>
        <v>0</v>
      </c>
      <c r="M21" s="96" t="b">
        <f>AND(ZdrojIdxNew=4,E20="ano",E21&lt;ParametryZdroje!B25,L21)</f>
        <v>0</v>
      </c>
      <c r="N21" s="96" t="str">
        <f>"Nově instalované tepelné čerpadlo nesplňuje požadavek na účinnost dle vyhl. 264/2020 Sb., minimální COP je " &amp; ParametryZdroje!B25 &amp; "."</f>
        <v>Nově instalované tepelné čerpadlo nesplňuje požadavek na účinnost dle vyhl. 264/2020 Sb., minimální COP je 0.</v>
      </c>
      <c r="O21" s="96" cm="1">
        <f t="array" ref="O21">myidx(AND(K21),ISBLANK(E21),NOT(ISNUMBER(E21)),E21&lt;1,E21&gt;6)</f>
        <v>1</v>
      </c>
      <c r="P21" s="96" t="s">
        <v>21</v>
      </c>
      <c r="Q21" s="96" t="s">
        <v>219</v>
      </c>
      <c r="R21" s="96" t="s">
        <v>23</v>
      </c>
      <c r="S21" s="96" t="s">
        <v>256</v>
      </c>
      <c r="T21" s="96" t="s">
        <v>249</v>
      </c>
    </row>
    <row r="22" spans="2:20" s="96" customFormat="1" ht="15.75" hidden="1" thickBot="1">
      <c r="B22" s="148"/>
      <c r="C22" s="148"/>
      <c r="D22" s="148"/>
      <c r="E22" s="163"/>
      <c r="F22" s="165"/>
      <c r="G22" s="146"/>
      <c r="H22" s="147" t="b">
        <f>H24</f>
        <v>0</v>
      </c>
      <c r="I22" s="145"/>
      <c r="J22" s="145"/>
      <c r="K22" s="145"/>
      <c r="L22" s="145"/>
      <c r="M22" s="145"/>
      <c r="N22" s="145"/>
      <c r="O22" s="145"/>
    </row>
    <row r="23" spans="2:20" ht="36" hidden="1" customHeight="1" thickBot="1">
      <c r="B23" s="149" t="s">
        <v>85</v>
      </c>
      <c r="C23" s="170" t="s">
        <v>86</v>
      </c>
      <c r="D23" s="47"/>
      <c r="E23" s="171"/>
      <c r="F23" s="157"/>
      <c r="G23" s="99"/>
      <c r="H23" s="97" t="b">
        <f>H24</f>
        <v>0</v>
      </c>
    </row>
    <row r="24" spans="2:20" s="172" customFormat="1" ht="36" hidden="1" customHeight="1" thickBot="1">
      <c r="B24" s="144" t="s">
        <v>87</v>
      </c>
      <c r="C24" s="140" t="s">
        <v>171</v>
      </c>
      <c r="D24" s="141" t="s">
        <v>89</v>
      </c>
      <c r="E24" s="159"/>
      <c r="F24" s="145" t="str" cm="1">
        <f t="array" ref="F24">IFERROR(INDEX(P24:R24,1,O24),"")</f>
        <v>OK</v>
      </c>
      <c r="G24" s="121"/>
      <c r="H24" s="121" t="b">
        <f>AND(JePENB,OR(AND(ZdrojIdxNew=4,L21),AND(ZdrojIdxNew&lt;4,L19)))</f>
        <v>0</v>
      </c>
      <c r="I24" s="96" t="str">
        <f>IF(AND(H24,K24),E24,"")</f>
        <v/>
      </c>
      <c r="J24" s="145">
        <f>ROW()</f>
        <v>24</v>
      </c>
      <c r="K24" s="145" t="b">
        <f>OR(NOT(JePENB),E24="ano",E24="ne")</f>
        <v>1</v>
      </c>
      <c r="L24" s="96" t="b">
        <f>AND(K24,$L$4:L23)</f>
        <v>0</v>
      </c>
      <c r="M24" s="96"/>
      <c r="N24" s="96"/>
      <c r="O24" s="145" cm="1">
        <f t="array" ref="O24">myidx(AND(K24),ISBLANK(E24))</f>
        <v>1</v>
      </c>
      <c r="P24" s="96" t="s">
        <v>21</v>
      </c>
      <c r="Q24" s="96" t="s">
        <v>217</v>
      </c>
      <c r="R24" s="96"/>
    </row>
    <row r="25" spans="2:20" s="100" customFormat="1">
      <c r="B25" s="103"/>
      <c r="C25" s="104"/>
      <c r="D25" s="105"/>
      <c r="E25" s="106"/>
      <c r="F25" s="101"/>
      <c r="G25" s="102"/>
      <c r="H25" s="121" t="b">
        <v>1</v>
      </c>
      <c r="I25" s="102"/>
      <c r="J25" s="102"/>
      <c r="K25" s="102"/>
      <c r="L25" s="102"/>
      <c r="M25" s="102"/>
      <c r="N25" s="102"/>
      <c r="O25" s="102"/>
    </row>
    <row r="26" spans="2:20" s="100" customFormat="1" ht="36" customHeight="1">
      <c r="B26" s="103"/>
      <c r="C26" s="104"/>
      <c r="D26" s="105"/>
      <c r="E26" s="106" t="str">
        <f>IF(L26,"Konec formuláře","")</f>
        <v/>
      </c>
      <c r="F26" s="101"/>
      <c r="G26" s="102"/>
      <c r="H26" s="121" t="b">
        <v>1</v>
      </c>
      <c r="I26" s="102"/>
      <c r="J26" s="102"/>
      <c r="K26" s="102"/>
      <c r="L26" s="107" t="b">
        <f>L24</f>
        <v>0</v>
      </c>
      <c r="M26" s="107" t="b">
        <f>OR(M4:M24)</f>
        <v>0</v>
      </c>
      <c r="N26" s="107"/>
      <c r="O26" s="102"/>
    </row>
    <row r="27" spans="2:20" s="108" customFormat="1">
      <c r="B27" s="109"/>
      <c r="C27" s="110"/>
      <c r="D27" s="111"/>
      <c r="E27" s="112"/>
      <c r="F27" s="113"/>
      <c r="G27" s="114"/>
      <c r="H27" s="114" t="b">
        <v>1</v>
      </c>
      <c r="I27" s="114"/>
      <c r="J27" s="114"/>
      <c r="K27" s="114"/>
      <c r="L27" s="114"/>
      <c r="M27" s="114"/>
      <c r="N27" s="114"/>
      <c r="O27" s="114"/>
    </row>
    <row r="28" spans="2:20" s="115" customFormat="1" ht="36" customHeight="1">
      <c r="B28" s="116" t="s">
        <v>90</v>
      </c>
      <c r="C28" s="117" t="s">
        <v>172</v>
      </c>
      <c r="D28" s="118"/>
      <c r="E28" s="119"/>
      <c r="F28" s="120"/>
      <c r="G28" s="102"/>
      <c r="H28" s="179" t="b">
        <f>L26</f>
        <v>0</v>
      </c>
      <c r="I28" s="102"/>
      <c r="J28" s="102"/>
      <c r="K28" s="102"/>
      <c r="L28" s="102"/>
      <c r="M28" s="102"/>
      <c r="N28" s="102"/>
      <c r="O28" s="102"/>
      <c r="P28" s="102"/>
      <c r="Q28" s="102"/>
    </row>
    <row r="29" spans="2:20" s="115" customFormat="1" ht="36" customHeight="1">
      <c r="B29" s="103"/>
      <c r="C29" s="644" t="s">
        <v>263</v>
      </c>
      <c r="D29" s="644"/>
      <c r="E29" s="644"/>
      <c r="F29" s="121"/>
      <c r="G29" s="102"/>
      <c r="H29" s="121" t="b">
        <f>AND(L26,NOT(M26))</f>
        <v>0</v>
      </c>
      <c r="I29" s="102"/>
      <c r="J29" s="102"/>
      <c r="K29" s="102"/>
      <c r="L29" s="102"/>
      <c r="M29" s="102"/>
      <c r="N29" s="102"/>
      <c r="O29" s="102"/>
      <c r="P29" s="102"/>
      <c r="Q29" s="102"/>
    </row>
    <row r="30" spans="2:20" s="115" customFormat="1" ht="36" hidden="1" customHeight="1">
      <c r="B30" s="103"/>
      <c r="C30" s="645" t="str">
        <f>N18</f>
        <v>Nově instalovaný kotel nesplňuje požadavek na účinnost dle vyhl. 264/2020 Sb., minimální účinnost je 0 %.</v>
      </c>
      <c r="D30" s="645"/>
      <c r="E30" s="645"/>
      <c r="F30" s="121"/>
      <c r="G30" s="102"/>
      <c r="H30" s="121" t="b">
        <f>AND(L26,M18)</f>
        <v>0</v>
      </c>
      <c r="I30" s="102"/>
      <c r="J30" s="102"/>
      <c r="K30" s="102"/>
      <c r="L30" s="102"/>
      <c r="M30" s="102"/>
      <c r="N30" s="102"/>
      <c r="O30" s="102"/>
      <c r="P30" s="102"/>
      <c r="Q30" s="102"/>
    </row>
    <row r="31" spans="2:20" s="115" customFormat="1" ht="36" hidden="1" customHeight="1">
      <c r="B31" s="103"/>
      <c r="C31" s="645" t="str">
        <f>N21</f>
        <v>Nově instalované tepelné čerpadlo nesplňuje požadavek na účinnost dle vyhl. 264/2020 Sb., minimální COP je 0.</v>
      </c>
      <c r="D31" s="645"/>
      <c r="E31" s="645"/>
      <c r="F31" s="121"/>
      <c r="G31" s="102"/>
      <c r="H31" s="121" t="b">
        <f>AND(L26,M21)</f>
        <v>0</v>
      </c>
      <c r="I31" s="102"/>
      <c r="J31" s="102"/>
      <c r="K31" s="102"/>
      <c r="L31" s="102"/>
      <c r="M31" s="102"/>
      <c r="N31" s="102"/>
      <c r="O31" s="102"/>
      <c r="P31" s="102"/>
      <c r="Q31" s="102"/>
    </row>
    <row r="32" spans="2:20" s="115" customFormat="1" ht="36" hidden="1" customHeight="1">
      <c r="B32" s="103"/>
      <c r="C32" s="645" t="s">
        <v>262</v>
      </c>
      <c r="D32" s="645"/>
      <c r="E32" s="645"/>
      <c r="F32" s="121"/>
      <c r="G32" s="102"/>
      <c r="H32" s="121" t="b">
        <f>AND(L24,M19)</f>
        <v>0</v>
      </c>
      <c r="I32" s="102"/>
      <c r="J32" s="102"/>
      <c r="K32" s="102"/>
      <c r="L32" s="102"/>
      <c r="M32" s="102"/>
      <c r="N32" s="102"/>
      <c r="O32" s="102"/>
      <c r="P32" s="102"/>
      <c r="Q32" s="102"/>
    </row>
    <row r="33" spans="2:17" s="115" customFormat="1" ht="36" hidden="1" customHeight="1">
      <c r="B33" s="103"/>
      <c r="C33" s="643" t="s">
        <v>261</v>
      </c>
      <c r="D33" s="643"/>
      <c r="E33" s="643"/>
      <c r="F33" s="121"/>
      <c r="G33" s="102"/>
      <c r="H33" s="121" t="b">
        <f>AND(L24,ZdrojIdxNew=1)</f>
        <v>0</v>
      </c>
      <c r="I33" s="102"/>
      <c r="J33" s="102"/>
      <c r="K33" s="102"/>
      <c r="L33" s="102"/>
      <c r="M33" s="102"/>
      <c r="N33" s="102"/>
      <c r="O33" s="102"/>
      <c r="P33" s="102"/>
      <c r="Q33" s="102"/>
    </row>
    <row r="34" spans="2:17" s="122" customFormat="1">
      <c r="B34" s="102"/>
      <c r="C34" s="102"/>
      <c r="D34" s="102"/>
      <c r="E34" s="102"/>
      <c r="F34" s="121"/>
      <c r="G34" s="102"/>
      <c r="H34" s="107" t="b">
        <f>$L$26</f>
        <v>0</v>
      </c>
      <c r="I34" s="102"/>
      <c r="J34" s="102"/>
      <c r="K34" s="102"/>
      <c r="L34" s="102"/>
      <c r="M34" s="102"/>
      <c r="N34" s="102"/>
      <c r="O34" s="102"/>
      <c r="P34" s="102"/>
      <c r="Q34" s="102"/>
    </row>
    <row r="35" spans="2:17" s="127" customFormat="1" ht="15.75">
      <c r="B35" s="123" t="s">
        <v>173</v>
      </c>
      <c r="C35" s="124" t="s">
        <v>1159</v>
      </c>
      <c r="D35" s="125"/>
      <c r="E35" s="126"/>
      <c r="F35" s="121"/>
      <c r="H35" s="107" t="b">
        <f t="shared" ref="H35:H47" si="2">$L$26</f>
        <v>0</v>
      </c>
    </row>
    <row r="36" spans="2:17" s="102" customFormat="1">
      <c r="B36" s="128"/>
      <c r="C36" s="129" t="s">
        <v>174</v>
      </c>
      <c r="D36" s="130"/>
      <c r="E36" s="129"/>
      <c r="H36" s="107" t="b">
        <f t="shared" si="2"/>
        <v>0</v>
      </c>
    </row>
    <row r="37" spans="2:17" s="17" customFormat="1">
      <c r="B37" s="131"/>
      <c r="C37" s="132" t="s">
        <v>175</v>
      </c>
      <c r="D37" s="133" t="e">
        <f ca="1">Bilance!E34</f>
        <v>#DIV/0!</v>
      </c>
      <c r="E37" s="134" t="s">
        <v>176</v>
      </c>
      <c r="H37" s="107" t="b">
        <f t="shared" si="2"/>
        <v>0</v>
      </c>
    </row>
    <row r="38" spans="2:17" s="17" customFormat="1">
      <c r="B38" s="131"/>
      <c r="C38" s="132" t="s">
        <v>177</v>
      </c>
      <c r="D38" s="133" t="e">
        <f ca="1">Bilance!F34</f>
        <v>#DIV/0!</v>
      </c>
      <c r="E38" s="134" t="s">
        <v>176</v>
      </c>
      <c r="H38" s="107" t="b">
        <f t="shared" si="2"/>
        <v>0</v>
      </c>
    </row>
    <row r="39" spans="2:17" s="17" customFormat="1">
      <c r="B39" s="131"/>
      <c r="C39" s="132" t="s">
        <v>178</v>
      </c>
      <c r="D39" s="133" t="e">
        <f ca="1">Bilance!G34</f>
        <v>#DIV/0!</v>
      </c>
      <c r="E39" s="134" t="s">
        <v>176</v>
      </c>
      <c r="H39" s="107" t="b">
        <f t="shared" si="2"/>
        <v>0</v>
      </c>
    </row>
    <row r="40" spans="2:17" s="17" customFormat="1">
      <c r="B40" s="131"/>
      <c r="C40" s="132" t="s">
        <v>178</v>
      </c>
      <c r="D40" s="135">
        <f ca="1">IFERROR(D39/D37,0)</f>
        <v>0</v>
      </c>
      <c r="E40" s="134" t="s">
        <v>96</v>
      </c>
      <c r="H40" s="107" t="b">
        <f t="shared" si="2"/>
        <v>0</v>
      </c>
    </row>
    <row r="41" spans="2:17" s="17" customFormat="1" ht="18">
      <c r="B41" s="131"/>
      <c r="C41" s="134" t="s">
        <v>179</v>
      </c>
      <c r="D41" s="133" t="e">
        <f ca="1">Bilance!M34</f>
        <v>#DIV/0!</v>
      </c>
      <c r="E41" s="134" t="s">
        <v>180</v>
      </c>
      <c r="H41" s="107" t="b">
        <f t="shared" si="2"/>
        <v>0</v>
      </c>
    </row>
    <row r="42" spans="2:17" s="17" customFormat="1">
      <c r="B42" s="131"/>
      <c r="C42" s="134" t="s">
        <v>181</v>
      </c>
      <c r="D42" s="133" t="e">
        <f ca="1">Bilance!Y34</f>
        <v>#DIV/0!</v>
      </c>
      <c r="E42" s="134" t="s">
        <v>182</v>
      </c>
      <c r="H42" s="107" t="b">
        <f t="shared" si="2"/>
        <v>0</v>
      </c>
    </row>
    <row r="43" spans="2:17" s="17" customFormat="1">
      <c r="B43" s="131"/>
      <c r="C43" s="129" t="s">
        <v>962</v>
      </c>
      <c r="D43" s="130"/>
      <c r="E43" s="129"/>
      <c r="H43" s="107" t="b">
        <f t="shared" si="2"/>
        <v>0</v>
      </c>
    </row>
    <row r="44" spans="2:17" s="17" customFormat="1">
      <c r="B44" s="131"/>
      <c r="C44" s="132" t="s">
        <v>175</v>
      </c>
      <c r="D44" s="133" t="e">
        <f ca="1">Bilance!H34</f>
        <v>#DIV/0!</v>
      </c>
      <c r="E44" s="134" t="s">
        <v>176</v>
      </c>
      <c r="H44" s="107" t="b">
        <f t="shared" si="2"/>
        <v>0</v>
      </c>
    </row>
    <row r="45" spans="2:17" s="17" customFormat="1">
      <c r="B45" s="131"/>
      <c r="C45" s="132" t="s">
        <v>177</v>
      </c>
      <c r="D45" s="133" t="e">
        <f ca="1">Bilance!I34</f>
        <v>#DIV/0!</v>
      </c>
      <c r="E45" s="134" t="s">
        <v>176</v>
      </c>
      <c r="H45" s="107" t="b">
        <f t="shared" si="2"/>
        <v>0</v>
      </c>
    </row>
    <row r="46" spans="2:17" s="17" customFormat="1">
      <c r="B46" s="131"/>
      <c r="C46" s="132" t="s">
        <v>178</v>
      </c>
      <c r="D46" s="133" t="e">
        <f ca="1">Bilance!J34</f>
        <v>#DIV/0!</v>
      </c>
      <c r="E46" s="134" t="s">
        <v>176</v>
      </c>
      <c r="H46" s="107" t="b">
        <f t="shared" si="2"/>
        <v>0</v>
      </c>
    </row>
    <row r="47" spans="2:17" s="17" customFormat="1">
      <c r="B47" s="131"/>
      <c r="C47" s="132" t="s">
        <v>178</v>
      </c>
      <c r="D47" s="135">
        <f ca="1">IFERROR(D46/D44,0)</f>
        <v>0</v>
      </c>
      <c r="E47" s="134" t="s">
        <v>96</v>
      </c>
      <c r="H47" s="107" t="b">
        <f t="shared" si="2"/>
        <v>0</v>
      </c>
    </row>
    <row r="48" spans="2:17">
      <c r="C48" s="136"/>
      <c r="H48" s="107" t="b">
        <v>1</v>
      </c>
    </row>
    <row r="49" spans="2:8">
      <c r="B49" s="137" t="s">
        <v>16</v>
      </c>
      <c r="H49" s="107" t="b">
        <v>1</v>
      </c>
    </row>
  </sheetData>
  <sheetProtection algorithmName="SHA-512" hashValue="mha20E6e0hJR8TJqDfP9LlfEv6vWpQwTfxT+Ger0w2fUJegY22Dcxdel0nSatw58NlfC/L/ixJ3ka0Or1eSKyA==" saltValue="M0L/wgcTqNqTujP9MwQgGg==" spinCount="100000" sheet="1" objects="1" scenarios="1"/>
  <mergeCells count="5">
    <mergeCell ref="C33:E33"/>
    <mergeCell ref="C29:E29"/>
    <mergeCell ref="C32:E32"/>
    <mergeCell ref="C30:E30"/>
    <mergeCell ref="C31:E31"/>
  </mergeCells>
  <conditionalFormatting sqref="F4:F13 F16:F21">
    <cfRule type="cellIs" dxfId="52" priority="1" operator="notEqual">
      <formula>"OK"</formula>
    </cfRule>
  </conditionalFormatting>
  <dataValidations count="14">
    <dataValidation type="list" allowBlank="1" showInputMessage="1" showErrorMessage="1" sqref="E7" xr:uid="{0A17E366-5B40-4545-BA34-87FB7FA23021}">
      <formula1>INDIRECT("TTypSZT[typ SZT]")</formula1>
    </dataValidation>
    <dataValidation type="decimal" allowBlank="1" showInputMessage="1" showErrorMessage="1" prompt="0-50000" sqref="E13" xr:uid="{14A6E279-C275-452F-9DC8-3801D2CE1064}">
      <formula1>0</formula1>
      <formula2>50000</formula2>
    </dataValidation>
    <dataValidation type="list" allowBlank="1" showInputMessage="1" showErrorMessage="1" sqref="E5" xr:uid="{82626E35-BBAB-4E38-AC04-29E4DD3ADAF7}">
      <formula1>INDIRECT("TStáříKotle[Stáří kotle]")</formula1>
    </dataValidation>
    <dataValidation type="list" allowBlank="1" showInputMessage="1" showErrorMessage="1" sqref="E16" xr:uid="{2799DDBB-543C-4159-9107-925C0B981F71}">
      <formula1>INDIRECT("TNovýKotel[kotel]")</formula1>
    </dataValidation>
    <dataValidation allowBlank="1" showErrorMessage="1" prompt="0-1000" sqref="D25:D27" xr:uid="{7FCBE04F-43E5-40A5-AF6C-D61BE3C1CA7D}"/>
    <dataValidation type="decimal" allowBlank="1" showInputMessage="1" showErrorMessage="1" prompt="5 - 99,5 %" sqref="E10" xr:uid="{93F15DA0-435C-40B7-A8AD-FCBEED4F74CD}">
      <formula1>MinEtaZdrOld</formula1>
      <formula2>MaxEtaZdrOld</formula2>
    </dataValidation>
    <dataValidation type="list" allowBlank="1" showInputMessage="1" showErrorMessage="1" sqref="E17 E9 E11 E20 E24" xr:uid="{FEB9CBB7-69CF-4CB1-942F-BC4BE8453CB8}">
      <formula1>"ano,ne"</formula1>
    </dataValidation>
    <dataValidation type="decimal" allowBlank="1" showInputMessage="1" showErrorMessage="1" prompt="0-1000" sqref="D32:D33 D28" xr:uid="{F94043EE-FF43-408D-B384-C5D6C2D4D276}">
      <formula1>0</formula1>
      <formula2>1000</formula2>
    </dataValidation>
    <dataValidation type="list" allowBlank="1" showInputMessage="1" showErrorMessage="1" sqref="E4" xr:uid="{1557057E-C2D7-4C0B-8E94-3F499A6D1E2B}">
      <formula1>INDIRECT("TStaréKotle[#Záhlaví]")</formula1>
    </dataValidation>
    <dataValidation type="decimal" allowBlank="1" showInputMessage="1" showErrorMessage="1" prompt="1-6_x000a_Sezónní účinnost 4,5 znamená, že tepelné čerpadlo při spotřebě 1 kWh elektřiny vyrobí 4,5 kWh tepla." sqref="E12" xr:uid="{087CE565-2948-439F-A271-8EA6CF05A77F}">
      <formula1>MinCOPTČOld</formula1>
      <formula2>MaxCOPTČOld</formula2>
    </dataValidation>
    <dataValidation type="decimal" operator="greaterThan" allowBlank="1" showInputMessage="1" showErrorMessage="1" prompt="&gt; 0" sqref="E8" xr:uid="{2E6900B6-E2A6-4953-A54C-3138EEDCD50B}">
      <formula1>0</formula1>
    </dataValidation>
    <dataValidation type="decimal" allowBlank="1" showInputMessage="1" showErrorMessage="1" prompt="5 - 111 %" sqref="E18" xr:uid="{F9276C98-6B11-4C19-BE6E-B52DDD8F3B44}">
      <formula1>0.05</formula1>
      <formula2>1.11</formula2>
    </dataValidation>
    <dataValidation type="decimal" allowBlank="1" showInputMessage="1" showErrorMessage="1" prompt="1 - 6" sqref="E21" xr:uid="{56AD594C-68FA-4D2E-BBDB-04FC5CF7DDCA}">
      <formula1>1</formula1>
      <formula2>6</formula2>
    </dataValidation>
    <dataValidation type="decimal" allowBlank="1" showInputMessage="1" showErrorMessage="1" prompt="0 - 50 000" sqref="E19" xr:uid="{972344BC-A6E9-48FD-A28A-29419336E063}">
      <formula1>0</formula1>
      <formula2>50000</formula2>
    </dataValidation>
  </dataValidations>
  <pageMargins left="0.7" right="0.7" top="0.78740157499999996" bottom="0.78740157499999996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GoHome">
                <anchor moveWithCells="1" sizeWithCells="1">
                  <from>
                    <xdr:col>3</xdr:col>
                    <xdr:colOff>0</xdr:colOff>
                    <xdr:row>0</xdr:row>
                    <xdr:rowOff>104775</xdr:rowOff>
                  </from>
                  <to>
                    <xdr:col>4</xdr:col>
                    <xdr:colOff>57150</xdr:colOff>
                    <xdr:row>1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5" r:id="rId4" name="Button 3">
              <controlPr defaultSize="0" print="0" autoFill="0" autoPict="0" macro="[0]!List5.ResetMe">
                <anchor moveWithCells="1" sizeWithCells="1">
                  <from>
                    <xdr:col>4</xdr:col>
                    <xdr:colOff>171450</xdr:colOff>
                    <xdr:row>0</xdr:row>
                    <xdr:rowOff>104775</xdr:rowOff>
                  </from>
                  <to>
                    <xdr:col>4</xdr:col>
                    <xdr:colOff>1609725</xdr:colOff>
                    <xdr:row>1</xdr:row>
                    <xdr:rowOff>133350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4678D46-7F68-4E90-842F-C135845D115A}">
          <x14:formula1>
            <xm:f>INDIRECT(ParametryZdroje!$A$8)</xm:f>
          </x14:formula1>
          <xm:sqref>E6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33F491-5F25-430F-911E-48DB78775A1A}">
  <sheetPr codeName="List1"/>
  <dimension ref="A1:T219"/>
  <sheetViews>
    <sheetView workbookViewId="0">
      <pane ySplit="2" topLeftCell="A3" activePane="bottomLeft" state="frozen"/>
      <selection pane="bottomLeft" activeCell="A3" sqref="A3"/>
    </sheetView>
  </sheetViews>
  <sheetFormatPr defaultColWidth="0" defaultRowHeight="15" zeroHeight="1"/>
  <cols>
    <col min="1" max="1" width="2.7109375" style="1" customWidth="1"/>
    <col min="2" max="2" width="9.140625" style="3" customWidth="1"/>
    <col min="3" max="3" width="73.85546875" style="1" bestFit="1" customWidth="1"/>
    <col min="4" max="4" width="16" style="1" bestFit="1" customWidth="1"/>
    <col min="5" max="5" width="10" style="1" bestFit="1" customWidth="1"/>
    <col min="6" max="6" width="74.42578125" style="1" customWidth="1"/>
    <col min="7" max="7" width="2.7109375" style="1" customWidth="1"/>
    <col min="8" max="8" width="10.85546875" style="1" hidden="1" customWidth="1"/>
    <col min="9" max="9" width="14.42578125" style="1" hidden="1" customWidth="1"/>
    <col min="10" max="10" width="11" style="1" hidden="1" customWidth="1"/>
    <col min="11" max="11" width="10.85546875" style="1" hidden="1" customWidth="1"/>
    <col min="12" max="14" width="12" style="1" hidden="1" customWidth="1"/>
    <col min="15" max="15" width="9.140625" style="1" hidden="1" customWidth="1"/>
    <col min="16" max="16" width="8.5703125" style="1" hidden="1" customWidth="1"/>
    <col min="17" max="17" width="30.5703125" style="1" hidden="1" customWidth="1"/>
    <col min="18" max="18" width="17.42578125" style="1" hidden="1" customWidth="1"/>
    <col min="19" max="19" width="21" style="1" hidden="1" customWidth="1"/>
    <col min="20" max="20" width="17.42578125" style="1" hidden="1" customWidth="1"/>
    <col min="21" max="16384" width="9.140625" style="1" hidden="1"/>
  </cols>
  <sheetData>
    <row r="1" spans="1:20" ht="26.25" customHeight="1">
      <c r="B1" s="2" t="s">
        <v>0</v>
      </c>
    </row>
    <row r="2" spans="1:20" ht="22.5" customHeight="1" thickBot="1"/>
    <row r="3" spans="1:20" s="150" customFormat="1" ht="36" customHeight="1" thickBot="1">
      <c r="A3" s="150" t="s">
        <v>1</v>
      </c>
      <c r="B3" s="151">
        <v>1</v>
      </c>
      <c r="C3" s="152" t="s">
        <v>2</v>
      </c>
      <c r="D3" s="152"/>
      <c r="E3" s="152"/>
      <c r="H3" s="153" t="s">
        <v>17</v>
      </c>
      <c r="I3" s="153" t="s">
        <v>18</v>
      </c>
      <c r="J3" s="153" t="s">
        <v>139</v>
      </c>
      <c r="K3" s="153" t="s">
        <v>229</v>
      </c>
      <c r="L3" s="153" t="s">
        <v>230</v>
      </c>
      <c r="M3" s="153" t="s">
        <v>251</v>
      </c>
      <c r="N3" s="153" t="s">
        <v>252</v>
      </c>
      <c r="O3" s="153" t="s">
        <v>19</v>
      </c>
      <c r="P3" s="153" t="s">
        <v>20</v>
      </c>
    </row>
    <row r="4" spans="1:20" s="154" customFormat="1" ht="36" customHeight="1" thickBot="1">
      <c r="B4" s="4" t="s">
        <v>3</v>
      </c>
      <c r="C4" s="5" t="s">
        <v>4</v>
      </c>
      <c r="D4" s="5" t="s">
        <v>5</v>
      </c>
      <c r="E4" s="6"/>
      <c r="F4" s="11" t="str" cm="1">
        <f t="array" ref="F4">IF(AND(L4,M4),N4,IFERROR(INDEX(P4:T4,1,O4),""))</f>
        <v>Zadejte instalovaný výkon.</v>
      </c>
      <c r="G4" s="12"/>
      <c r="H4" s="154" t="b">
        <v>1</v>
      </c>
      <c r="I4" s="154">
        <f>E4*H4*K4</f>
        <v>0</v>
      </c>
      <c r="J4" s="154">
        <f>IF(K4,ROW(E5),ROW())</f>
        <v>4</v>
      </c>
      <c r="K4" s="154" t="b">
        <f>AND(ISNUMBER(E4),IF(ISNUMBER(E4),E4&gt;0,FALSE))</f>
        <v>0</v>
      </c>
      <c r="L4" s="154" t="b">
        <f>K4</f>
        <v>0</v>
      </c>
      <c r="M4" s="154" t="b">
        <f>I4&gt;ParametryFVE!C6</f>
        <v>0</v>
      </c>
      <c r="N4" s="154" t="str">
        <f>"Instalovaný výkon FVE může být maximálně " &amp; ParametryFVE!C6 &amp; " kWp."</f>
        <v>Instalovaný výkon FVE může být maximálně 1000 kWp.</v>
      </c>
      <c r="O4" s="154" cm="1">
        <f t="array" ref="O4">myidx(K4,ISBLANK(E4),NOT(ISNUMBER(E4)),E4&lt;=0)</f>
        <v>2</v>
      </c>
      <c r="P4" s="154" t="s">
        <v>21</v>
      </c>
      <c r="Q4" s="154" t="s">
        <v>22</v>
      </c>
      <c r="R4" s="154" t="s">
        <v>23</v>
      </c>
      <c r="S4" s="154" t="s">
        <v>24</v>
      </c>
    </row>
    <row r="5" spans="1:20" s="154" customFormat="1" ht="36" customHeight="1" thickBot="1">
      <c r="B5" s="4" t="s">
        <v>6</v>
      </c>
      <c r="C5" s="5" t="s">
        <v>7</v>
      </c>
      <c r="D5" s="5" t="s">
        <v>8</v>
      </c>
      <c r="E5" s="7"/>
      <c r="F5" s="11" t="str" cm="1">
        <f t="array" ref="F5">IFERROR(INDEX(P5:T5,1,O5),"")</f>
        <v>Zadejte výrobu.</v>
      </c>
      <c r="G5" s="12"/>
      <c r="H5" s="154" t="b">
        <f>IFERROR(AND(H4,K4,L4),FALSE)</f>
        <v>0</v>
      </c>
      <c r="I5" s="154">
        <f>E5*H5*K5</f>
        <v>0</v>
      </c>
      <c r="J5" s="154">
        <f>IF(K5,ROW(E6),ROW())</f>
        <v>5</v>
      </c>
      <c r="K5" s="154" t="b">
        <f>AND(ISNUMBER(E5),IF(ISNUMBER(E5),AND(E5/E4&gt;=MinVyužFVE,E5/E4&lt;=MaxVyužFVE),FALSE))</f>
        <v>0</v>
      </c>
      <c r="L5" s="154" t="b">
        <f>AND(K5,$L$4:L4)</f>
        <v>0</v>
      </c>
      <c r="O5" s="154" cm="1">
        <f t="array" ref="O5">myidx(K5,ISBLANK(E5),NOT(ISNUMBER(E5)),(E5/E4)&lt;MinVyužFVE,(E5/E4)&gt;MaxVyužFVE)</f>
        <v>2</v>
      </c>
      <c r="P5" s="154" t="s">
        <v>21</v>
      </c>
      <c r="Q5" s="154" t="s">
        <v>25</v>
      </c>
      <c r="R5" s="154" t="s">
        <v>23</v>
      </c>
      <c r="S5" s="154" t="str">
        <f>"Výroba je příliš malá, musí být alespoň " &amp; MinVyužFVE*E4 &amp; " MWh."</f>
        <v>Výroba je příliš malá, musí být alespoň 0 MWh.</v>
      </c>
      <c r="T5" s="154" t="str">
        <f xml:space="preserve"> "Výroba je příliš velká. Může být maximálně " &amp; E4*MaxVyužFVE &amp; " MWh."</f>
        <v>Výroba je příliš velká. Může být maximálně 0 MWh.</v>
      </c>
    </row>
    <row r="6" spans="1:20" s="154" customFormat="1" ht="36" customHeight="1" thickBot="1">
      <c r="B6" s="4" t="s">
        <v>9</v>
      </c>
      <c r="C6" s="5" t="s">
        <v>10</v>
      </c>
      <c r="D6" s="13" t="s">
        <v>11</v>
      </c>
      <c r="E6" s="8"/>
      <c r="F6" s="11" t="str" cm="1">
        <f t="array" ref="F6">IF(AND(L6,M6),N6,IFERROR(INDEX(P6:R6,1,O6),""))</f>
        <v>Vyberte ano nebo ne.</v>
      </c>
      <c r="G6" s="12"/>
      <c r="H6" s="154" t="b">
        <f>IFERROR(AND(H5,K5,L5),FALSE)</f>
        <v>0</v>
      </c>
      <c r="I6" s="154" t="str">
        <f>IF(AND(H6,K6),E6,"")</f>
        <v/>
      </c>
      <c r="J6" s="154">
        <f>IF(AND(K6,E6=ano),ROW(E7),ROW(E6))</f>
        <v>6</v>
      </c>
      <c r="K6" s="154" t="b">
        <f>OR(E6=ano,E6=ne)</f>
        <v>0</v>
      </c>
      <c r="L6" s="154" t="b">
        <f>AND(K6,$L$4:L5)</f>
        <v>0</v>
      </c>
      <c r="M6" s="154" t="b">
        <f>AND(L6,E6=ne)</f>
        <v>0</v>
      </c>
      <c r="N6" s="154" t="s">
        <v>26</v>
      </c>
      <c r="O6" s="154" cm="1">
        <f t="array" ref="O6">myidx(AND(K6,L6),AND(E6&lt;&gt;ano,E6&lt;&gt;ne))</f>
        <v>2</v>
      </c>
      <c r="P6" s="154" t="s">
        <v>21</v>
      </c>
      <c r="Q6" s="154" t="s">
        <v>217</v>
      </c>
    </row>
    <row r="7" spans="1:20" s="154" customFormat="1" ht="36" customHeight="1" thickBot="1">
      <c r="B7" s="4" t="s">
        <v>12</v>
      </c>
      <c r="C7" s="155" t="s">
        <v>13</v>
      </c>
      <c r="D7" s="5" t="s">
        <v>8</v>
      </c>
      <c r="E7" s="6"/>
      <c r="F7" s="11" t="str" cm="1">
        <f t="array" ref="F7">IF(AND(L7,M7),N7,IFERROR(INDEX(P7:T7,1,O7),""))</f>
        <v>Zadejte kapacitu baterie.</v>
      </c>
      <c r="G7" s="12"/>
      <c r="H7" s="154" t="b">
        <f>IFERROR(AND(E6=ano,H6,K6,L6),FALSE)</f>
        <v>0</v>
      </c>
      <c r="I7" s="154">
        <f>E7*H7*K7</f>
        <v>0</v>
      </c>
      <c r="J7" s="154">
        <f>IF(K7,ROW(E8),ROW(E7))</f>
        <v>7</v>
      </c>
      <c r="K7" s="154" t="b">
        <f>AND(ISNUMBER(E7),IF(ISNUMBER(E7),E7&gt;0,FALSE))</f>
        <v>0</v>
      </c>
      <c r="L7" s="154" t="b">
        <f>AND(K7,$L$4:L6)</f>
        <v>0</v>
      </c>
      <c r="M7" s="154" t="b">
        <f>AND(L6,OR(E7&lt;E4*MinPiBaterie,E7&gt;E4*MaxPiBaterie,E4&gt;ParametryFVE!C7))</f>
        <v>0</v>
      </c>
      <c r="N7" s="154" t="str">
        <f>"Kapacita baterie může být maximálně " &amp; ParametryFVE!C7 &amp; " kWp."</f>
        <v>Kapacita baterie může být maximálně 1000 kWp.</v>
      </c>
      <c r="O7" s="154" cm="1">
        <f t="array" ref="O7">myidx(K7,ISBLANK(E7),NOT(ISNUMBER(E7)),E7&lt;=0)</f>
        <v>2</v>
      </c>
      <c r="P7" s="154" t="s">
        <v>21</v>
      </c>
      <c r="Q7" s="154" t="s">
        <v>27</v>
      </c>
      <c r="R7" s="154" t="s">
        <v>23</v>
      </c>
      <c r="S7" s="154" t="s">
        <v>253</v>
      </c>
    </row>
    <row r="8" spans="1:20" s="154" customFormat="1" ht="36" customHeight="1" thickBot="1">
      <c r="B8" s="4" t="s">
        <v>14</v>
      </c>
      <c r="C8" s="9" t="s">
        <v>15</v>
      </c>
      <c r="D8" s="5" t="s">
        <v>8</v>
      </c>
      <c r="E8" s="7"/>
      <c r="F8" s="11" t="str" cm="1">
        <f t="array" ref="F8">IF(AND(L8,M8),N8,IFERROR(INDEX(P8:S8,1,O8),""))</f>
        <v>Zadejte roční spotřebu elektřiny.</v>
      </c>
      <c r="G8" s="12"/>
      <c r="H8" s="154" t="b">
        <f>IFERROR(AND(H7,K7,L7),FALSE)</f>
        <v>0</v>
      </c>
      <c r="I8" s="154">
        <f>E8*H8*K8</f>
        <v>0</v>
      </c>
      <c r="J8" s="154">
        <f>ROW()</f>
        <v>8</v>
      </c>
      <c r="K8" s="154" t="b">
        <f>AND(ISNUMBER(E8),IF(ISNUMBER(E8),E8&gt;0,FALSE))</f>
        <v>0</v>
      </c>
      <c r="L8" s="154" t="b">
        <f>AND(K8,$L$4:L7)</f>
        <v>0</v>
      </c>
      <c r="M8" s="154" t="b">
        <f>AND(L7,E8&lt;E5)</f>
        <v>0</v>
      </c>
      <c r="N8" s="154" t="s">
        <v>103</v>
      </c>
      <c r="O8" s="154" cm="1">
        <f t="array" ref="O8">myidx(K8,ISBLANK(E8),NOT(ISNUMBER(E8)),E8&lt;=0)</f>
        <v>2</v>
      </c>
      <c r="P8" s="154" t="s">
        <v>21</v>
      </c>
      <c r="Q8" s="154" t="s">
        <v>34</v>
      </c>
      <c r="R8" s="154" t="s">
        <v>23</v>
      </c>
      <c r="S8" s="154" t="s">
        <v>254</v>
      </c>
    </row>
    <row r="9" spans="1:20" s="154" customFormat="1" ht="35.450000000000003" customHeight="1">
      <c r="A9" s="173"/>
      <c r="B9" s="174"/>
      <c r="D9" s="175" t="str">
        <f>IFERROR(IF(L9,"Konec formuláře",""),"")</f>
        <v/>
      </c>
      <c r="E9" s="173"/>
      <c r="F9" s="176"/>
      <c r="G9" s="176"/>
      <c r="H9" s="154" t="b">
        <v>1</v>
      </c>
      <c r="L9" s="154" t="b">
        <f>OR(L8,AND(L6,I6=ne))</f>
        <v>0</v>
      </c>
      <c r="M9" s="154" t="b">
        <f>OR(M4:M8)</f>
        <v>0</v>
      </c>
    </row>
    <row r="10" spans="1:20" s="154" customFormat="1" ht="35.450000000000003" customHeight="1">
      <c r="A10" s="173"/>
      <c r="B10" s="180" t="s">
        <v>76</v>
      </c>
      <c r="C10" s="646" t="s">
        <v>172</v>
      </c>
      <c r="D10" s="646"/>
      <c r="E10" s="646"/>
      <c r="F10" s="176"/>
      <c r="G10" s="176"/>
      <c r="H10" s="154" t="b">
        <f>OR(L9,AND(L6,E6=ne))</f>
        <v>0</v>
      </c>
    </row>
    <row r="11" spans="1:20" s="154" customFormat="1" ht="35.450000000000003" customHeight="1">
      <c r="A11" s="173"/>
      <c r="B11" s="174"/>
      <c r="C11" s="647" t="s">
        <v>882</v>
      </c>
      <c r="D11" s="647"/>
      <c r="E11" s="647"/>
      <c r="F11" s="176"/>
      <c r="G11" s="176"/>
      <c r="H11" s="154" t="b">
        <f>AND(L9,NOT(M9))</f>
        <v>0</v>
      </c>
    </row>
    <row r="12" spans="1:20" s="154" customFormat="1" ht="35.450000000000003" hidden="1" customHeight="1">
      <c r="A12" s="173"/>
      <c r="B12" s="174"/>
      <c r="C12" s="640" t="str">
        <f>N4</f>
        <v>Instalovaný výkon FVE může být maximálně 1000 kWp.</v>
      </c>
      <c r="D12" s="640"/>
      <c r="E12" s="640"/>
      <c r="F12" s="176"/>
      <c r="G12" s="176"/>
      <c r="H12" s="154" t="b">
        <f>AND(M4,H10)</f>
        <v>0</v>
      </c>
    </row>
    <row r="13" spans="1:20" s="154" customFormat="1" ht="35.450000000000003" hidden="1" customHeight="1">
      <c r="A13" s="173"/>
      <c r="B13" s="174"/>
      <c r="C13" s="640" t="s">
        <v>26</v>
      </c>
      <c r="D13" s="640"/>
      <c r="E13" s="640"/>
      <c r="F13" s="176"/>
      <c r="G13" s="176"/>
      <c r="H13" s="154" t="b">
        <f>AND(M6,H10)</f>
        <v>0</v>
      </c>
    </row>
    <row r="14" spans="1:20" s="154" customFormat="1" ht="35.450000000000003" hidden="1" customHeight="1">
      <c r="A14" s="173"/>
      <c r="B14" s="174"/>
      <c r="C14" s="485" t="str">
        <f>N7</f>
        <v>Kapacita baterie může být maximálně 1000 kWp.</v>
      </c>
      <c r="D14" s="485"/>
      <c r="E14" s="485"/>
      <c r="F14" s="176"/>
      <c r="G14" s="176"/>
      <c r="H14" s="154" t="b">
        <f>AND(H10,M7,I6=ano)</f>
        <v>0</v>
      </c>
    </row>
    <row r="15" spans="1:20" s="154" customFormat="1" ht="35.450000000000003" hidden="1" customHeight="1">
      <c r="A15" s="173"/>
      <c r="B15" s="174"/>
      <c r="C15" s="640" t="s">
        <v>103</v>
      </c>
      <c r="D15" s="640"/>
      <c r="E15" s="640"/>
      <c r="F15" s="176"/>
      <c r="G15" s="176"/>
      <c r="H15" s="154" t="b">
        <f>AND(M8,L9,I6=ano)</f>
        <v>0</v>
      </c>
    </row>
    <row r="16" spans="1:20" s="154" customFormat="1" ht="35.450000000000003" customHeight="1">
      <c r="A16" s="173"/>
      <c r="B16" s="174"/>
    </row>
    <row r="17" spans="2:2">
      <c r="B17" s="173" t="s">
        <v>16</v>
      </c>
    </row>
    <row r="219" spans="2:2" hidden="1">
      <c r="B219" s="3" t="b">
        <v>0</v>
      </c>
    </row>
  </sheetData>
  <sheetProtection algorithmName="SHA-512" hashValue="MV13t+GuByA2+YWlQT2cVDoYeGHebURIoY/DEIriQ4Gb2jXVQIS711G7M28vGSgjcFTo8HNwBLyB1mDr7Q8y7w==" saltValue="yrZ1zhsQYXqM2zCwdgdzgQ==" spinCount="100000" sheet="1" objects="1" scenarios="1"/>
  <mergeCells count="5">
    <mergeCell ref="C10:E10"/>
    <mergeCell ref="C11:E11"/>
    <mergeCell ref="C13:E13"/>
    <mergeCell ref="C15:E15"/>
    <mergeCell ref="C12:E12"/>
  </mergeCells>
  <conditionalFormatting sqref="F4:F8">
    <cfRule type="cellIs" dxfId="51" priority="1" operator="notEqual">
      <formula>"OK"</formula>
    </cfRule>
  </conditionalFormatting>
  <dataValidations count="3">
    <dataValidation type="decimal" operator="greaterThan" allowBlank="1" showInputMessage="1" showErrorMessage="1" prompt="&gt; 0" sqref="E4" xr:uid="{C25C74D0-50FE-4CEC-AFB3-803E0CA1FD4E}">
      <formula1>0</formula1>
    </dataValidation>
    <dataValidation type="list" allowBlank="1" showInputMessage="1" showErrorMessage="1" sqref="E6" xr:uid="{835C8429-9937-4766-994A-8800E95A16E6}">
      <formula1>"ano,ne"</formula1>
    </dataValidation>
    <dataValidation operator="greaterThanOrEqual" allowBlank="1" showInputMessage="1" showErrorMessage="1" sqref="E7" xr:uid="{C14F1669-054B-4558-9B4C-39CCAD106F5D}"/>
  </dataValidations>
  <pageMargins left="0.7" right="0.7" top="0.78740157499999996" bottom="0.78740157499999996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Button 1">
              <controlPr defaultSize="0" print="0" autoFill="0" autoPict="0" macro="[0]!GoHome">
                <anchor moveWithCells="1" sizeWithCells="1">
                  <from>
                    <xdr:col>2</xdr:col>
                    <xdr:colOff>1609725</xdr:colOff>
                    <xdr:row>0</xdr:row>
                    <xdr:rowOff>38100</xdr:rowOff>
                  </from>
                  <to>
                    <xdr:col>2</xdr:col>
                    <xdr:colOff>3048000</xdr:colOff>
                    <xdr:row>1</xdr:row>
                    <xdr:rowOff>66675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4" name="Button 2">
              <controlPr defaultSize="0" print="0" autoFill="0" autoPict="0" macro="[0]!List1.ResetMe">
                <anchor moveWithCells="1" sizeWithCells="1">
                  <from>
                    <xdr:col>2</xdr:col>
                    <xdr:colOff>47625</xdr:colOff>
                    <xdr:row>0</xdr:row>
                    <xdr:rowOff>38100</xdr:rowOff>
                  </from>
                  <to>
                    <xdr:col>2</xdr:col>
                    <xdr:colOff>1485900</xdr:colOff>
                    <xdr:row>1</xdr:row>
                    <xdr:rowOff>66675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E7CE51-8FB3-4D40-9DCB-012723276C30}">
  <sheetPr codeName="List19">
    <pageSetUpPr fitToPage="1"/>
  </sheetPr>
  <dimension ref="A1:J128"/>
  <sheetViews>
    <sheetView zoomScaleNormal="100" workbookViewId="0"/>
  </sheetViews>
  <sheetFormatPr defaultColWidth="0" defaultRowHeight="15" customHeight="1"/>
  <cols>
    <col min="1" max="1" width="3.28515625" style="355" customWidth="1"/>
    <col min="2" max="2" width="9.42578125" style="355" customWidth="1"/>
    <col min="3" max="3" width="10.140625" style="355" customWidth="1"/>
    <col min="4" max="4" width="14" style="355" customWidth="1"/>
    <col min="5" max="5" width="27.7109375" style="355" customWidth="1"/>
    <col min="6" max="6" width="10.28515625" style="355" customWidth="1"/>
    <col min="7" max="7" width="13.28515625" style="355" customWidth="1"/>
    <col min="8" max="8" width="11.85546875" style="355" customWidth="1"/>
    <col min="9" max="9" width="3.28515625" style="355" customWidth="1"/>
    <col min="10" max="10" width="10.85546875" style="355" hidden="1" customWidth="1"/>
    <col min="11" max="16384" width="8.85546875" style="355" hidden="1"/>
  </cols>
  <sheetData>
    <row r="1" spans="1:10" ht="15" customHeight="1">
      <c r="A1" s="44"/>
      <c r="B1" s="44"/>
      <c r="C1" s="44"/>
      <c r="D1" s="44"/>
      <c r="E1" s="44"/>
      <c r="F1" s="44"/>
      <c r="G1" s="44"/>
      <c r="H1" s="44"/>
      <c r="I1" s="44"/>
    </row>
    <row r="2" spans="1:10" ht="27" customHeight="1">
      <c r="A2" s="44"/>
      <c r="B2" s="656" t="s">
        <v>808</v>
      </c>
      <c r="C2" s="656"/>
      <c r="D2" s="656"/>
      <c r="E2" s="656"/>
      <c r="F2" s="656"/>
      <c r="G2" s="656"/>
      <c r="H2" s="656"/>
      <c r="I2" s="44"/>
    </row>
    <row r="3" spans="1:10" ht="28.5" customHeight="1">
      <c r="A3" s="44"/>
      <c r="B3" s="657" t="s">
        <v>809</v>
      </c>
      <c r="C3" s="657"/>
      <c r="D3" s="657"/>
      <c r="E3" s="657"/>
      <c r="F3" s="657"/>
      <c r="G3" s="657"/>
      <c r="H3" s="657"/>
      <c r="I3" s="44"/>
    </row>
    <row r="4" spans="1:10" ht="28.5" customHeight="1">
      <c r="A4" s="44"/>
      <c r="B4" s="545"/>
      <c r="C4" s="545"/>
      <c r="D4" s="545"/>
      <c r="E4" s="549" t="s">
        <v>1162</v>
      </c>
      <c r="F4" s="648"/>
      <c r="G4" s="649"/>
      <c r="H4" s="650"/>
      <c r="I4" s="44"/>
    </row>
    <row r="5" spans="1:10" ht="28.5" customHeight="1">
      <c r="A5" s="44"/>
      <c r="B5" s="356"/>
      <c r="C5" s="356"/>
      <c r="D5" s="356"/>
      <c r="E5" s="356"/>
      <c r="F5" s="356"/>
      <c r="G5" s="356"/>
      <c r="H5" s="356"/>
      <c r="I5" s="44"/>
    </row>
    <row r="6" spans="1:10" ht="28.5" customHeight="1">
      <c r="A6" s="44"/>
      <c r="B6" s="658" t="s">
        <v>810</v>
      </c>
      <c r="C6" s="659"/>
      <c r="D6" s="660"/>
      <c r="E6" s="661"/>
      <c r="F6" s="662"/>
      <c r="G6" s="662"/>
      <c r="H6" s="663"/>
      <c r="I6" s="44"/>
      <c r="J6" s="494" t="s">
        <v>17</v>
      </c>
    </row>
    <row r="7" spans="1:10" ht="28.5" customHeight="1">
      <c r="A7" s="44"/>
      <c r="B7" s="664" t="s">
        <v>749</v>
      </c>
      <c r="C7" s="665"/>
      <c r="D7" s="666"/>
      <c r="E7" s="667" t="str">
        <f>IF(ISBLANK('Hlavní list'!C6), "",'Hlavní list'!C6)</f>
        <v/>
      </c>
      <c r="F7" s="668"/>
      <c r="G7" s="668"/>
      <c r="H7" s="669"/>
      <c r="I7" s="44"/>
      <c r="J7" s="484" t="b">
        <v>1</v>
      </c>
    </row>
    <row r="8" spans="1:10" ht="43.5" customHeight="1">
      <c r="A8" s="44"/>
      <c r="B8" s="664" t="s">
        <v>750</v>
      </c>
      <c r="C8" s="665"/>
      <c r="D8" s="666"/>
      <c r="E8" s="670" t="str">
        <f>IF(ISBLANK('Hlavní list'!C7), "",'Hlavní list'!C7)</f>
        <v/>
      </c>
      <c r="F8" s="671"/>
      <c r="G8" s="671"/>
      <c r="H8" s="672"/>
      <c r="I8" s="44"/>
      <c r="J8" s="484" t="b">
        <v>1</v>
      </c>
    </row>
    <row r="9" spans="1:10" ht="28.5" customHeight="1">
      <c r="A9" s="44"/>
      <c r="B9" s="664" t="s">
        <v>751</v>
      </c>
      <c r="C9" s="665"/>
      <c r="D9" s="666"/>
      <c r="E9" s="670" t="str">
        <f>IF(ISBLANK('Hlavní list'!C8), "",'Hlavní list'!C8)</f>
        <v/>
      </c>
      <c r="F9" s="671"/>
      <c r="G9" s="671"/>
      <c r="H9" s="672"/>
      <c r="I9" s="44"/>
      <c r="J9" s="484" t="b">
        <v>1</v>
      </c>
    </row>
    <row r="10" spans="1:10" ht="28.5" customHeight="1">
      <c r="A10" s="44"/>
      <c r="B10" s="664" t="s">
        <v>752</v>
      </c>
      <c r="C10" s="665"/>
      <c r="D10" s="666"/>
      <c r="E10" s="670" t="str">
        <f>IF(ISBLANK('Hlavní list'!C9), "",'Hlavní list'!C9)</f>
        <v/>
      </c>
      <c r="F10" s="671"/>
      <c r="G10" s="671"/>
      <c r="H10" s="672"/>
      <c r="I10" s="44"/>
      <c r="J10" s="484" t="b">
        <v>1</v>
      </c>
    </row>
    <row r="11" spans="1:10" ht="28.5" customHeight="1">
      <c r="A11" s="44"/>
      <c r="B11" s="664" t="s">
        <v>753</v>
      </c>
      <c r="C11" s="665"/>
      <c r="D11" s="666"/>
      <c r="E11" s="670" t="str">
        <f>IF(ISBLANK('Hlavní list'!C10), "",'Hlavní list'!C10)</f>
        <v/>
      </c>
      <c r="F11" s="671"/>
      <c r="G11" s="671"/>
      <c r="H11" s="672"/>
      <c r="I11" s="44"/>
      <c r="J11" s="484" t="b">
        <v>1</v>
      </c>
    </row>
    <row r="12" spans="1:10" s="256" customFormat="1" ht="64.5" customHeight="1">
      <c r="A12" s="240"/>
      <c r="B12" s="664" t="s">
        <v>754</v>
      </c>
      <c r="C12" s="665"/>
      <c r="D12" s="666"/>
      <c r="E12" s="673" t="str">
        <f>IF(ISBLANK('Hlavní list'!C11), "",'Hlavní list'!C11)</f>
        <v/>
      </c>
      <c r="F12" s="674"/>
      <c r="G12" s="674"/>
      <c r="H12" s="675"/>
      <c r="I12" s="240"/>
      <c r="J12" s="484" t="b">
        <v>1</v>
      </c>
    </row>
    <row r="13" spans="1:10">
      <c r="A13" s="44"/>
      <c r="B13" s="357"/>
      <c r="C13" s="358"/>
      <c r="D13" s="358"/>
      <c r="E13" s="358"/>
      <c r="F13" s="44"/>
      <c r="G13" s="44"/>
      <c r="I13" s="44"/>
      <c r="J13" s="484" t="b">
        <v>1</v>
      </c>
    </row>
    <row r="14" spans="1:10" ht="49.15" customHeight="1">
      <c r="A14" s="44"/>
      <c r="B14" s="676" t="s">
        <v>811</v>
      </c>
      <c r="C14" s="677"/>
      <c r="D14" s="677"/>
      <c r="E14" s="677"/>
      <c r="F14" s="677"/>
      <c r="G14" s="677"/>
      <c r="H14" s="678"/>
      <c r="I14" s="44"/>
      <c r="J14" s="484" t="b">
        <v>1</v>
      </c>
    </row>
    <row r="15" spans="1:10">
      <c r="A15" s="44"/>
      <c r="B15" s="359"/>
      <c r="C15" s="44"/>
      <c r="D15" s="44"/>
      <c r="E15" s="44"/>
      <c r="F15" s="44"/>
      <c r="G15" s="44"/>
      <c r="I15" s="44"/>
      <c r="J15" s="484" t="b">
        <v>1</v>
      </c>
    </row>
    <row r="16" spans="1:10" ht="31.15" customHeight="1">
      <c r="A16" s="44"/>
      <c r="B16" s="679" t="s">
        <v>812</v>
      </c>
      <c r="C16" s="680"/>
      <c r="D16" s="680"/>
      <c r="E16" s="680"/>
      <c r="F16" s="683" t="s">
        <v>813</v>
      </c>
      <c r="G16" s="684"/>
      <c r="H16" s="685"/>
      <c r="I16" s="44"/>
      <c r="J16" s="484" t="b">
        <v>1</v>
      </c>
    </row>
    <row r="17" spans="1:10" ht="33.6" customHeight="1">
      <c r="A17" s="44"/>
      <c r="B17" s="681"/>
      <c r="C17" s="682"/>
      <c r="D17" s="682"/>
      <c r="E17" s="682"/>
      <c r="F17" s="360" t="s">
        <v>259</v>
      </c>
      <c r="G17" s="360" t="s">
        <v>260</v>
      </c>
      <c r="H17" s="361" t="s">
        <v>814</v>
      </c>
      <c r="I17" s="44"/>
      <c r="J17" s="484" t="b">
        <v>1</v>
      </c>
    </row>
    <row r="18" spans="1:10" ht="48" customHeight="1">
      <c r="A18" s="44"/>
      <c r="B18" s="652" t="s">
        <v>976</v>
      </c>
      <c r="C18" s="653"/>
      <c r="D18" s="653"/>
      <c r="E18" s="654"/>
      <c r="F18" s="362"/>
      <c r="G18" s="362"/>
      <c r="H18" s="44"/>
      <c r="I18" s="44"/>
      <c r="J18" s="484" t="b">
        <v>1</v>
      </c>
    </row>
    <row r="19" spans="1:10" ht="109.5" customHeight="1">
      <c r="A19" s="44"/>
      <c r="B19" s="652" t="s">
        <v>1161</v>
      </c>
      <c r="C19" s="653"/>
      <c r="D19" s="653"/>
      <c r="E19" s="654"/>
      <c r="F19" s="362"/>
      <c r="G19" s="362"/>
      <c r="H19" s="44"/>
      <c r="I19" s="44"/>
      <c r="J19" s="484" t="b">
        <v>1</v>
      </c>
    </row>
    <row r="20" spans="1:10" ht="40.5" customHeight="1">
      <c r="A20" s="44"/>
      <c r="B20" s="652" t="s">
        <v>1002</v>
      </c>
      <c r="C20" s="653"/>
      <c r="D20" s="653"/>
      <c r="E20" s="654"/>
      <c r="F20" s="362"/>
      <c r="G20" s="362"/>
      <c r="H20" s="362"/>
      <c r="I20" s="44"/>
      <c r="J20" s="484" t="b">
        <v>1</v>
      </c>
    </row>
    <row r="21" spans="1:10" ht="92.25" customHeight="1">
      <c r="A21" s="44"/>
      <c r="B21" s="652" t="s">
        <v>977</v>
      </c>
      <c r="C21" s="653"/>
      <c r="D21" s="653"/>
      <c r="E21" s="654"/>
      <c r="F21" s="362"/>
      <c r="G21" s="362"/>
      <c r="H21" s="362"/>
      <c r="I21" s="44"/>
      <c r="J21" s="484" t="b">
        <v>1</v>
      </c>
    </row>
    <row r="22" spans="1:10" ht="31.15" customHeight="1">
      <c r="A22" s="44"/>
      <c r="B22" s="679" t="s">
        <v>812</v>
      </c>
      <c r="C22" s="680"/>
      <c r="D22" s="680"/>
      <c r="E22" s="680"/>
      <c r="F22" s="683" t="s">
        <v>813</v>
      </c>
      <c r="G22" s="684"/>
      <c r="H22" s="685"/>
      <c r="I22" s="44"/>
      <c r="J22" s="484" t="b">
        <v>1</v>
      </c>
    </row>
    <row r="23" spans="1:10" ht="33.6" customHeight="1">
      <c r="A23" s="44"/>
      <c r="B23" s="681"/>
      <c r="C23" s="682"/>
      <c r="D23" s="682"/>
      <c r="E23" s="682"/>
      <c r="F23" s="360" t="s">
        <v>259</v>
      </c>
      <c r="G23" s="360" t="s">
        <v>260</v>
      </c>
      <c r="H23" s="361" t="s">
        <v>814</v>
      </c>
      <c r="I23" s="44"/>
      <c r="J23" s="484" t="b">
        <v>1</v>
      </c>
    </row>
    <row r="24" spans="1:10" ht="92.1" customHeight="1">
      <c r="A24" s="44"/>
      <c r="B24" s="655" t="s">
        <v>1003</v>
      </c>
      <c r="C24" s="655"/>
      <c r="D24" s="655"/>
      <c r="E24" s="655"/>
      <c r="F24" s="362"/>
      <c r="G24" s="362"/>
      <c r="H24" s="362" t="str">
        <f>IF(NOT(je_FVE),"","x")</f>
        <v/>
      </c>
      <c r="I24" s="44"/>
      <c r="J24" s="484" t="b">
        <f>je_FVE</f>
        <v>0</v>
      </c>
    </row>
    <row r="25" spans="1:10" ht="71.25" customHeight="1">
      <c r="A25" s="44"/>
      <c r="B25" s="655" t="s">
        <v>978</v>
      </c>
      <c r="C25" s="655"/>
      <c r="D25" s="655"/>
      <c r="E25" s="655"/>
      <c r="F25" s="363"/>
      <c r="G25" s="363"/>
      <c r="H25" s="362" t="str">
        <f>IF(NOT(je_FVE),"","x")</f>
        <v/>
      </c>
      <c r="I25" s="44"/>
      <c r="J25" s="484" t="b">
        <f>je_FVE</f>
        <v>0</v>
      </c>
    </row>
    <row r="26" spans="1:10" ht="26.45" customHeight="1">
      <c r="A26" s="44"/>
      <c r="B26" s="655" t="s">
        <v>979</v>
      </c>
      <c r="C26" s="655"/>
      <c r="D26" s="655"/>
      <c r="E26" s="655"/>
      <c r="F26" s="362"/>
      <c r="G26" s="362"/>
      <c r="H26" s="362" t="str">
        <f>IF(OR(NOT(je_zdroj),AND(je_zdroj,ZdrojIdxNew&lt;&gt;4)),"x","")</f>
        <v>x</v>
      </c>
      <c r="I26" s="44"/>
      <c r="J26" s="484" t="b">
        <f>AND(je_zdroj,ZdrojIdxNew=4)</f>
        <v>0</v>
      </c>
    </row>
    <row r="27" spans="1:10" ht="36" customHeight="1">
      <c r="A27" s="44"/>
      <c r="B27" s="655" t="s">
        <v>980</v>
      </c>
      <c r="C27" s="655"/>
      <c r="D27" s="655"/>
      <c r="E27" s="655"/>
      <c r="F27" s="362" t="str">
        <f>IF(AND(je_zdroj,ZdrojIdxNew=4,Zdroj!$I$21&gt;=ParametryZdroje!$D$33),"x","")</f>
        <v/>
      </c>
      <c r="G27" s="362" t="str">
        <f>IF(AND(je_zdroj,ZdrojIdxNew=4,Zdroj!$I$21&lt;ParametryZdroje!$D$33),"x","")</f>
        <v/>
      </c>
      <c r="H27" s="362" t="str">
        <f>IF(OR(NOT(je_zdroj),AND(je_zdroj,ZdrojIdxNew&lt;&gt;4)),"x","")</f>
        <v>x</v>
      </c>
      <c r="I27" s="44"/>
      <c r="J27" s="484" t="b">
        <f>AND(je_zdroj,ZdrojIdxNew=4)</f>
        <v>0</v>
      </c>
    </row>
    <row r="28" spans="1:10" ht="39.6" customHeight="1">
      <c r="A28" s="44"/>
      <c r="B28" s="655" t="s">
        <v>981</v>
      </c>
      <c r="C28" s="655"/>
      <c r="D28" s="655"/>
      <c r="E28" s="655"/>
      <c r="F28" s="362"/>
      <c r="G28" s="362"/>
      <c r="H28" s="362"/>
      <c r="I28" s="44"/>
      <c r="J28" s="484" t="b">
        <v>1</v>
      </c>
    </row>
    <row r="29" spans="1:10" ht="140.25" customHeight="1">
      <c r="A29" s="44"/>
      <c r="B29" s="655" t="s">
        <v>982</v>
      </c>
      <c r="C29" s="655"/>
      <c r="D29" s="655"/>
      <c r="E29" s="655"/>
      <c r="F29" s="362"/>
      <c r="G29" s="362"/>
      <c r="H29" s="362"/>
      <c r="I29" s="44"/>
      <c r="J29" s="484" t="b">
        <v>1</v>
      </c>
    </row>
    <row r="30" spans="1:10" ht="24" customHeight="1">
      <c r="A30" s="44"/>
      <c r="B30" s="655" t="s">
        <v>983</v>
      </c>
      <c r="C30" s="655"/>
      <c r="D30" s="655"/>
      <c r="E30" s="655"/>
      <c r="F30" s="362"/>
      <c r="G30" s="362"/>
      <c r="H30" s="362"/>
      <c r="I30" s="44"/>
      <c r="J30" s="484" t="b">
        <v>1</v>
      </c>
    </row>
    <row r="31" spans="1:10" ht="48" customHeight="1">
      <c r="A31" s="44"/>
      <c r="B31" s="655" t="s">
        <v>984</v>
      </c>
      <c r="C31" s="655"/>
      <c r="D31" s="655"/>
      <c r="E31" s="655"/>
      <c r="F31" s="362"/>
      <c r="G31" s="362"/>
      <c r="H31" s="362"/>
      <c r="I31" s="44"/>
      <c r="J31" s="484" t="b">
        <v>1</v>
      </c>
    </row>
    <row r="32" spans="1:10" ht="47.1" hidden="1" customHeight="1">
      <c r="A32" s="44"/>
      <c r="B32" s="655" t="s">
        <v>985</v>
      </c>
      <c r="C32" s="655"/>
      <c r="D32" s="655"/>
      <c r="E32" s="655"/>
      <c r="F32" s="362"/>
      <c r="G32" s="362"/>
      <c r="H32" s="362"/>
      <c r="I32" s="44"/>
      <c r="J32" s="484" t="b">
        <v>0</v>
      </c>
    </row>
    <row r="33" spans="1:10" ht="52.5" customHeight="1">
      <c r="A33" s="44"/>
      <c r="B33" s="655" t="s">
        <v>986</v>
      </c>
      <c r="C33" s="655"/>
      <c r="D33" s="655"/>
      <c r="E33" s="655"/>
      <c r="F33" s="362"/>
      <c r="G33" s="362"/>
      <c r="H33" s="362"/>
      <c r="I33" s="44"/>
      <c r="J33" s="484" t="b">
        <v>1</v>
      </c>
    </row>
    <row r="34" spans="1:10" ht="27" customHeight="1">
      <c r="A34" s="44"/>
      <c r="B34" s="655" t="s">
        <v>987</v>
      </c>
      <c r="C34" s="655"/>
      <c r="D34" s="655"/>
      <c r="E34" s="655"/>
      <c r="F34" s="362"/>
      <c r="G34" s="362"/>
      <c r="H34" s="362"/>
      <c r="I34" s="44"/>
      <c r="J34" s="484" t="b">
        <v>1</v>
      </c>
    </row>
    <row r="35" spans="1:10" ht="33.75" customHeight="1">
      <c r="A35" s="44"/>
      <c r="B35" s="655" t="s">
        <v>988</v>
      </c>
      <c r="C35" s="655"/>
      <c r="D35" s="655"/>
      <c r="E35" s="655"/>
      <c r="F35" s="362"/>
      <c r="G35" s="362"/>
      <c r="H35" s="362"/>
      <c r="I35" s="44"/>
      <c r="J35" s="484" t="b">
        <v>1</v>
      </c>
    </row>
    <row r="36" spans="1:10" ht="132" customHeight="1">
      <c r="A36" s="44"/>
      <c r="B36" s="655" t="s">
        <v>995</v>
      </c>
      <c r="C36" s="655"/>
      <c r="D36" s="655"/>
      <c r="E36" s="655"/>
      <c r="F36" s="362"/>
      <c r="G36" s="362"/>
      <c r="H36" s="362"/>
      <c r="I36" s="44"/>
      <c r="J36" s="484" t="b">
        <v>1</v>
      </c>
    </row>
    <row r="37" spans="1:10" ht="31.15" customHeight="1">
      <c r="A37" s="44"/>
      <c r="B37" s="679" t="s">
        <v>812</v>
      </c>
      <c r="C37" s="680"/>
      <c r="D37" s="680"/>
      <c r="E37" s="680"/>
      <c r="F37" s="683" t="s">
        <v>813</v>
      </c>
      <c r="G37" s="684"/>
      <c r="H37" s="685"/>
      <c r="I37" s="44"/>
      <c r="J37" s="484" t="b">
        <v>1</v>
      </c>
    </row>
    <row r="38" spans="1:10" ht="33.6" customHeight="1">
      <c r="A38" s="44"/>
      <c r="B38" s="681"/>
      <c r="C38" s="682"/>
      <c r="D38" s="682"/>
      <c r="E38" s="682"/>
      <c r="F38" s="360" t="s">
        <v>259</v>
      </c>
      <c r="G38" s="360" t="s">
        <v>260</v>
      </c>
      <c r="H38" s="361" t="s">
        <v>814</v>
      </c>
      <c r="I38" s="44"/>
      <c r="J38" s="484" t="b">
        <v>1</v>
      </c>
    </row>
    <row r="39" spans="1:10" ht="49.5" customHeight="1">
      <c r="A39" s="44"/>
      <c r="B39" s="652" t="s">
        <v>989</v>
      </c>
      <c r="C39" s="653"/>
      <c r="D39" s="653"/>
      <c r="E39" s="654"/>
      <c r="F39" s="364"/>
      <c r="G39" s="364"/>
      <c r="H39" s="364"/>
      <c r="I39" s="44"/>
      <c r="J39" s="484" t="b">
        <v>1</v>
      </c>
    </row>
    <row r="40" spans="1:10" ht="117" hidden="1" customHeight="1">
      <c r="A40" s="44"/>
      <c r="B40" s="652" t="s">
        <v>996</v>
      </c>
      <c r="C40" s="653"/>
      <c r="D40" s="653"/>
      <c r="E40" s="654"/>
      <c r="F40" s="364"/>
      <c r="G40" s="364"/>
      <c r="H40" s="364"/>
      <c r="I40" s="44"/>
      <c r="J40" s="484" t="b">
        <f>AND(je_zdroj,OR(ZdrojIdxNew=1,ZdrojIdxNew=2))</f>
        <v>0</v>
      </c>
    </row>
    <row r="41" spans="1:10" ht="35.25" customHeight="1">
      <c r="A41" s="44"/>
      <c r="B41" s="652" t="s">
        <v>990</v>
      </c>
      <c r="C41" s="653"/>
      <c r="D41" s="653"/>
      <c r="E41" s="654"/>
      <c r="F41" s="364"/>
      <c r="G41" s="364"/>
      <c r="H41" s="364"/>
      <c r="I41" s="44"/>
      <c r="J41" s="484" t="b">
        <v>1</v>
      </c>
    </row>
    <row r="42" spans="1:10" ht="48" hidden="1" customHeight="1">
      <c r="A42" s="44"/>
      <c r="B42" s="652" t="s">
        <v>991</v>
      </c>
      <c r="C42" s="653"/>
      <c r="D42" s="653"/>
      <c r="E42" s="654"/>
      <c r="F42" s="364"/>
      <c r="G42" s="364"/>
      <c r="H42" s="364"/>
      <c r="I42" s="44"/>
      <c r="J42" s="484" t="b">
        <v>0</v>
      </c>
    </row>
    <row r="43" spans="1:10" ht="25.5" customHeight="1">
      <c r="A43" s="44"/>
      <c r="B43" s="652" t="s">
        <v>992</v>
      </c>
      <c r="C43" s="653"/>
      <c r="D43" s="653"/>
      <c r="E43" s="654"/>
      <c r="F43" s="364"/>
      <c r="G43" s="364"/>
      <c r="H43" s="364"/>
      <c r="I43" s="44"/>
      <c r="J43" s="484" t="b">
        <v>1</v>
      </c>
    </row>
    <row r="44" spans="1:10" ht="23.25" customHeight="1">
      <c r="A44" s="44"/>
      <c r="B44" s="652" t="s">
        <v>993</v>
      </c>
      <c r="C44" s="653"/>
      <c r="D44" s="653"/>
      <c r="E44" s="654"/>
      <c r="F44" s="364"/>
      <c r="G44" s="364"/>
      <c r="H44" s="364"/>
      <c r="I44" s="44"/>
      <c r="J44" s="484" t="b">
        <v>1</v>
      </c>
    </row>
    <row r="45" spans="1:10" ht="37.5" customHeight="1">
      <c r="A45" s="44"/>
      <c r="B45" s="655" t="s">
        <v>994</v>
      </c>
      <c r="C45" s="655"/>
      <c r="D45" s="655"/>
      <c r="E45" s="655"/>
      <c r="F45" s="362"/>
      <c r="G45" s="362"/>
      <c r="H45" s="362"/>
      <c r="I45" s="44"/>
      <c r="J45" s="484" t="b">
        <v>1</v>
      </c>
    </row>
    <row r="46" spans="1:10">
      <c r="A46" s="44"/>
      <c r="B46" s="480"/>
      <c r="C46" s="480"/>
      <c r="D46" s="480"/>
      <c r="E46" s="480"/>
      <c r="F46" s="215"/>
      <c r="G46" s="215"/>
      <c r="H46" s="215"/>
      <c r="I46" s="44"/>
      <c r="J46" s="484" t="b">
        <v>1</v>
      </c>
    </row>
    <row r="47" spans="1:10" ht="37.5" customHeight="1">
      <c r="A47" s="44"/>
      <c r="B47" s="651" t="s">
        <v>1001</v>
      </c>
      <c r="C47" s="651"/>
      <c r="D47" s="651"/>
      <c r="E47" s="651"/>
      <c r="F47" s="651" t="s">
        <v>813</v>
      </c>
      <c r="G47" s="651"/>
      <c r="H47" s="651"/>
      <c r="I47" s="44"/>
      <c r="J47" s="484" t="b">
        <v>1</v>
      </c>
    </row>
    <row r="48" spans="1:10" ht="37.5" customHeight="1">
      <c r="A48" s="44"/>
      <c r="B48" s="651"/>
      <c r="C48" s="651"/>
      <c r="D48" s="651"/>
      <c r="E48" s="651"/>
      <c r="F48" s="360" t="s">
        <v>259</v>
      </c>
      <c r="G48" s="360" t="s">
        <v>260</v>
      </c>
      <c r="H48" s="361" t="s">
        <v>814</v>
      </c>
      <c r="I48" s="44"/>
      <c r="J48" s="484" t="b">
        <v>1</v>
      </c>
    </row>
    <row r="49" spans="1:10" ht="48.95" customHeight="1">
      <c r="A49" s="44"/>
      <c r="B49" s="652" t="s">
        <v>997</v>
      </c>
      <c r="C49" s="653"/>
      <c r="D49" s="653"/>
      <c r="E49" s="654"/>
      <c r="F49" s="364"/>
      <c r="G49" s="364"/>
      <c r="H49" s="364"/>
      <c r="I49" s="44"/>
      <c r="J49" s="484" t="b">
        <v>1</v>
      </c>
    </row>
    <row r="50" spans="1:10" ht="24.95" customHeight="1">
      <c r="A50" s="44"/>
      <c r="B50" s="655" t="s">
        <v>998</v>
      </c>
      <c r="C50" s="655"/>
      <c r="D50" s="655"/>
      <c r="E50" s="655"/>
      <c r="F50" s="362"/>
      <c r="G50" s="362"/>
      <c r="H50" s="362"/>
      <c r="I50" s="44"/>
      <c r="J50" s="484" t="b">
        <v>1</v>
      </c>
    </row>
    <row r="51" spans="1:10" ht="37.5" customHeight="1">
      <c r="A51" s="44"/>
      <c r="B51" s="655" t="s">
        <v>1004</v>
      </c>
      <c r="C51" s="655"/>
      <c r="D51" s="655"/>
      <c r="E51" s="655"/>
      <c r="F51" s="362"/>
      <c r="G51" s="362"/>
      <c r="H51" s="362"/>
      <c r="I51" s="44"/>
      <c r="J51" s="484" t="b">
        <v>1</v>
      </c>
    </row>
    <row r="52" spans="1:10" ht="119.25" hidden="1" customHeight="1">
      <c r="A52" s="44"/>
      <c r="B52" s="652" t="s">
        <v>999</v>
      </c>
      <c r="C52" s="653"/>
      <c r="D52" s="653"/>
      <c r="E52" s="654"/>
      <c r="F52" s="364"/>
      <c r="G52" s="364"/>
      <c r="H52" s="364"/>
      <c r="I52" s="44"/>
      <c r="J52" s="484" t="b">
        <f>AND(je_zdroj,OR(ZdrojIdxNew=1,ZdrojIdxNew=2))</f>
        <v>0</v>
      </c>
    </row>
    <row r="53" spans="1:10" ht="74.25" hidden="1" customHeight="1">
      <c r="A53" s="44"/>
      <c r="B53" s="655" t="s">
        <v>1000</v>
      </c>
      <c r="C53" s="655"/>
      <c r="D53" s="655"/>
      <c r="E53" s="655"/>
      <c r="F53" s="362"/>
      <c r="G53" s="362"/>
      <c r="H53" s="362"/>
      <c r="I53" s="44"/>
      <c r="J53" s="484" t="b">
        <f>AND(je_zdroj,OR(ZdrojIdxNew=1,ZdrojIdxNew=2))</f>
        <v>0</v>
      </c>
    </row>
    <row r="54" spans="1:10" ht="20.25" customHeight="1">
      <c r="A54" s="44"/>
      <c r="B54" s="365"/>
      <c r="C54" s="365"/>
      <c r="D54" s="365"/>
      <c r="E54" s="365"/>
      <c r="F54" s="215"/>
      <c r="G54" s="215"/>
      <c r="H54" s="215"/>
      <c r="I54" s="44"/>
      <c r="J54" s="484" t="b">
        <v>1</v>
      </c>
    </row>
    <row r="55" spans="1:10" ht="49.15" customHeight="1">
      <c r="A55" s="44"/>
      <c r="B55" s="658" t="s">
        <v>815</v>
      </c>
      <c r="C55" s="659"/>
      <c r="D55" s="659"/>
      <c r="E55" s="659"/>
      <c r="F55" s="660"/>
      <c r="G55" s="691" t="s">
        <v>258</v>
      </c>
      <c r="H55" s="692"/>
      <c r="I55" s="44"/>
      <c r="J55" s="484" t="b">
        <v>1</v>
      </c>
    </row>
    <row r="56" spans="1:10" ht="49.15" customHeight="1">
      <c r="A56" s="44"/>
      <c r="B56" s="693" t="s">
        <v>816</v>
      </c>
      <c r="C56" s="694"/>
      <c r="D56" s="694"/>
      <c r="E56" s="694"/>
      <c r="F56" s="695"/>
      <c r="G56" s="689">
        <f>'Hlavní list'!D26</f>
        <v>0</v>
      </c>
      <c r="H56" s="690"/>
      <c r="I56" s="44"/>
      <c r="J56" s="484" t="b">
        <f>je_zateplení</f>
        <v>1</v>
      </c>
    </row>
    <row r="57" spans="1:10" ht="49.15" customHeight="1">
      <c r="A57" s="44"/>
      <c r="B57" s="693" t="s">
        <v>1188</v>
      </c>
      <c r="C57" s="694"/>
      <c r="D57" s="694"/>
      <c r="E57" s="694"/>
      <c r="F57" s="695"/>
      <c r="G57" s="689">
        <f>'Hlavní list'!D27</f>
        <v>0</v>
      </c>
      <c r="H57" s="690"/>
      <c r="I57" s="44"/>
      <c r="J57" s="484" t="b">
        <f>je_rekuperace</f>
        <v>0</v>
      </c>
    </row>
    <row r="58" spans="1:10" ht="49.15" customHeight="1">
      <c r="A58" s="44"/>
      <c r="B58" s="686" t="s">
        <v>817</v>
      </c>
      <c r="C58" s="687"/>
      <c r="D58" s="687"/>
      <c r="E58" s="687"/>
      <c r="F58" s="688"/>
      <c r="G58" s="689">
        <f>'Hlavní list'!D28</f>
        <v>0</v>
      </c>
      <c r="H58" s="690"/>
      <c r="I58" s="44"/>
      <c r="J58" s="484" t="b">
        <f>je_zdroj</f>
        <v>0</v>
      </c>
    </row>
    <row r="59" spans="1:10" ht="49.15" customHeight="1">
      <c r="A59" s="44"/>
      <c r="B59" s="686" t="s">
        <v>818</v>
      </c>
      <c r="C59" s="687"/>
      <c r="D59" s="687"/>
      <c r="E59" s="687"/>
      <c r="F59" s="688"/>
      <c r="G59" s="689">
        <f>'Hlavní list'!D29</f>
        <v>0</v>
      </c>
      <c r="H59" s="690"/>
      <c r="I59" s="44"/>
      <c r="J59" s="484" t="b">
        <f>je_osvětlení</f>
        <v>0</v>
      </c>
    </row>
    <row r="60" spans="1:10" ht="49.15" customHeight="1">
      <c r="A60" s="44"/>
      <c r="B60" s="686" t="s">
        <v>819</v>
      </c>
      <c r="C60" s="687"/>
      <c r="D60" s="687"/>
      <c r="E60" s="687"/>
      <c r="F60" s="688"/>
      <c r="G60" s="689">
        <f>'Hlavní list'!D30</f>
        <v>0</v>
      </c>
      <c r="H60" s="690"/>
      <c r="I60" s="44"/>
      <c r="J60" s="484" t="b">
        <f>je_FVE</f>
        <v>0</v>
      </c>
    </row>
    <row r="61" spans="1:10" ht="49.35" customHeight="1">
      <c r="A61" s="44"/>
      <c r="B61" s="699" t="s">
        <v>820</v>
      </c>
      <c r="C61" s="700"/>
      <c r="D61" s="700"/>
      <c r="E61" s="700"/>
      <c r="F61" s="701"/>
      <c r="G61" s="689">
        <f>'Hlavní list'!D31</f>
        <v>0</v>
      </c>
      <c r="H61" s="702"/>
      <c r="I61" s="44"/>
      <c r="J61" s="484" t="b">
        <v>1</v>
      </c>
    </row>
    <row r="62" spans="1:10">
      <c r="A62" s="44"/>
      <c r="B62" s="44"/>
      <c r="C62" s="44"/>
      <c r="D62" s="44"/>
      <c r="E62" s="44"/>
      <c r="F62" s="44"/>
      <c r="G62" s="44"/>
      <c r="H62" s="44"/>
      <c r="I62" s="44"/>
      <c r="J62" s="484" t="b">
        <v>1</v>
      </c>
    </row>
    <row r="63" spans="1:10" ht="22.15" customHeight="1">
      <c r="A63" s="44"/>
      <c r="B63" s="44"/>
      <c r="C63" s="44"/>
      <c r="D63" s="44"/>
      <c r="E63" s="44"/>
      <c r="F63" s="44"/>
      <c r="G63" s="44"/>
      <c r="H63" s="44"/>
      <c r="I63" s="44"/>
      <c r="J63" s="484" t="b">
        <v>1</v>
      </c>
    </row>
    <row r="64" spans="1:10" ht="27" customHeight="1">
      <c r="A64" s="44"/>
      <c r="B64" s="658" t="s">
        <v>821</v>
      </c>
      <c r="C64" s="659"/>
      <c r="D64" s="659"/>
      <c r="E64" s="659"/>
      <c r="F64" s="660"/>
      <c r="G64" s="366" t="s">
        <v>8</v>
      </c>
      <c r="H64" s="366" t="s">
        <v>447</v>
      </c>
      <c r="I64" s="44"/>
      <c r="J64" s="484" t="b">
        <v>1</v>
      </c>
    </row>
    <row r="65" spans="1:10" ht="25.9" customHeight="1">
      <c r="A65" s="44"/>
      <c r="B65" s="696" t="s">
        <v>1055</v>
      </c>
      <c r="C65" s="697"/>
      <c r="D65" s="697"/>
      <c r="E65" s="697"/>
      <c r="F65" s="698"/>
      <c r="G65" s="367">
        <f ca="1">'Hlavní list'!C46</f>
        <v>0</v>
      </c>
      <c r="H65" s="367">
        <f ca="1">'Hlavní list'!D46</f>
        <v>0</v>
      </c>
      <c r="I65" s="44"/>
      <c r="J65" s="484" t="b">
        <v>1</v>
      </c>
    </row>
    <row r="66" spans="1:10" ht="27" customHeight="1">
      <c r="A66" s="44"/>
      <c r="B66" s="696" t="s">
        <v>1185</v>
      </c>
      <c r="C66" s="697"/>
      <c r="D66" s="697"/>
      <c r="E66" s="697"/>
      <c r="F66" s="698"/>
      <c r="G66" s="367">
        <f ca="1">'Hlavní list'!C47</f>
        <v>0</v>
      </c>
      <c r="H66" s="367">
        <f ca="1">'Hlavní list'!D47</f>
        <v>0</v>
      </c>
      <c r="I66" s="44"/>
      <c r="J66" s="484" t="b">
        <v>1</v>
      </c>
    </row>
    <row r="67" spans="1:10" ht="27" customHeight="1">
      <c r="A67" s="44"/>
      <c r="B67" s="696" t="s">
        <v>1180</v>
      </c>
      <c r="C67" s="697"/>
      <c r="D67" s="697"/>
      <c r="E67" s="697"/>
      <c r="F67" s="698"/>
      <c r="G67" s="367">
        <f ca="1">'Hlavní list'!C48</f>
        <v>0</v>
      </c>
      <c r="H67" s="367">
        <f ca="1">'Hlavní list'!D48</f>
        <v>0</v>
      </c>
      <c r="I67" s="44"/>
      <c r="J67" s="484" t="b">
        <v>1</v>
      </c>
    </row>
    <row r="68" spans="1:10" ht="27" customHeight="1">
      <c r="A68" s="44"/>
      <c r="B68" s="696" t="s">
        <v>1174</v>
      </c>
      <c r="C68" s="697"/>
      <c r="D68" s="697"/>
      <c r="E68" s="697"/>
      <c r="F68" s="698"/>
      <c r="G68" s="367">
        <f ca="1">'Hlavní list'!C50</f>
        <v>0</v>
      </c>
      <c r="H68" s="367">
        <f ca="1">'Hlavní list'!D50</f>
        <v>0</v>
      </c>
      <c r="I68" s="44"/>
      <c r="J68" s="484" t="b">
        <v>1</v>
      </c>
    </row>
    <row r="69" spans="1:10" ht="27" customHeight="1">
      <c r="A69" s="44"/>
      <c r="B69" s="696" t="s">
        <v>1184</v>
      </c>
      <c r="C69" s="697"/>
      <c r="D69" s="697"/>
      <c r="E69" s="697"/>
      <c r="F69" s="698"/>
      <c r="G69" s="367">
        <f ca="1">'Hlavní list'!C51</f>
        <v>0</v>
      </c>
      <c r="H69" s="367">
        <f ca="1">'Hlavní list'!D51</f>
        <v>0</v>
      </c>
      <c r="I69" s="44"/>
      <c r="J69" s="484" t="b">
        <v>1</v>
      </c>
    </row>
    <row r="70" spans="1:10" ht="27" customHeight="1">
      <c r="A70" s="44"/>
      <c r="B70" s="696" t="s">
        <v>1181</v>
      </c>
      <c r="C70" s="697"/>
      <c r="D70" s="697"/>
      <c r="E70" s="697"/>
      <c r="F70" s="698"/>
      <c r="G70" s="367">
        <f ca="1">'Hlavní list'!C52</f>
        <v>0</v>
      </c>
      <c r="H70" s="367">
        <f ca="1">'Hlavní list'!D52</f>
        <v>0</v>
      </c>
      <c r="I70" s="44"/>
      <c r="J70" s="484" t="b">
        <f>je_FVE</f>
        <v>0</v>
      </c>
    </row>
    <row r="71" spans="1:10" ht="27" customHeight="1">
      <c r="A71" s="44"/>
      <c r="B71" s="696" t="s">
        <v>770</v>
      </c>
      <c r="C71" s="697"/>
      <c r="D71" s="697"/>
      <c r="E71" s="697"/>
      <c r="F71" s="697"/>
      <c r="G71" s="367">
        <f ca="1">'Hlavní list'!C54</f>
        <v>0</v>
      </c>
      <c r="H71" s="367">
        <f ca="1">'Hlavní list'!D54</f>
        <v>0</v>
      </c>
      <c r="I71" s="44"/>
      <c r="J71" s="484" t="b">
        <v>1</v>
      </c>
    </row>
    <row r="72" spans="1:10" ht="27" customHeight="1">
      <c r="A72" s="44"/>
      <c r="B72" s="696" t="s">
        <v>1057</v>
      </c>
      <c r="C72" s="697"/>
      <c r="D72" s="697"/>
      <c r="E72" s="697"/>
      <c r="F72" s="698"/>
      <c r="G72" s="367">
        <f ca="1">'Hlavní list'!C56</f>
        <v>0</v>
      </c>
      <c r="H72" s="367">
        <f ca="1">'Hlavní list'!D56</f>
        <v>0</v>
      </c>
      <c r="I72" s="44"/>
      <c r="J72" s="484" t="b">
        <v>1</v>
      </c>
    </row>
    <row r="73" spans="1:10" ht="27" customHeight="1">
      <c r="A73" s="44"/>
      <c r="B73" s="696" t="s">
        <v>1186</v>
      </c>
      <c r="C73" s="697"/>
      <c r="D73" s="697"/>
      <c r="E73" s="697"/>
      <c r="F73" s="698"/>
      <c r="G73" s="367">
        <f ca="1">'Hlavní list'!C57</f>
        <v>0</v>
      </c>
      <c r="H73" s="367">
        <f ca="1">'Hlavní list'!D57</f>
        <v>0</v>
      </c>
      <c r="I73" s="44"/>
      <c r="J73" s="484" t="b">
        <v>1</v>
      </c>
    </row>
    <row r="74" spans="1:10" ht="27" customHeight="1">
      <c r="A74" s="44"/>
      <c r="B74" s="696" t="s">
        <v>1058</v>
      </c>
      <c r="C74" s="697"/>
      <c r="D74" s="697"/>
      <c r="E74" s="697"/>
      <c r="F74" s="698"/>
      <c r="G74" s="367">
        <f ca="1">'Hlavní list'!C58</f>
        <v>0</v>
      </c>
      <c r="H74" s="367">
        <f ca="1">'Hlavní list'!D58</f>
        <v>0</v>
      </c>
      <c r="I74" s="44"/>
      <c r="J74" s="484" t="b">
        <v>1</v>
      </c>
    </row>
    <row r="75" spans="1:10" ht="27" customHeight="1">
      <c r="A75" s="44"/>
      <c r="B75" s="696" t="s">
        <v>1177</v>
      </c>
      <c r="C75" s="697"/>
      <c r="D75" s="697"/>
      <c r="E75" s="697"/>
      <c r="F75" s="698"/>
      <c r="G75" s="367">
        <f ca="1">'Hlavní list'!C60</f>
        <v>0</v>
      </c>
      <c r="H75" s="367">
        <f ca="1">'Hlavní list'!D60</f>
        <v>0</v>
      </c>
      <c r="I75" s="44"/>
      <c r="J75" s="484" t="b">
        <v>1</v>
      </c>
    </row>
    <row r="76" spans="1:10" ht="27" customHeight="1">
      <c r="A76" s="44"/>
      <c r="B76" s="696" t="s">
        <v>1187</v>
      </c>
      <c r="C76" s="697"/>
      <c r="D76" s="697"/>
      <c r="E76" s="697"/>
      <c r="F76" s="698"/>
      <c r="G76" s="367">
        <f ca="1">'Hlavní list'!C61</f>
        <v>0</v>
      </c>
      <c r="H76" s="367">
        <f ca="1">'Hlavní list'!D61</f>
        <v>0</v>
      </c>
      <c r="I76" s="44"/>
      <c r="J76" s="484" t="b">
        <v>1</v>
      </c>
    </row>
    <row r="77" spans="1:10" ht="27" customHeight="1">
      <c r="A77" s="44"/>
      <c r="B77" s="696" t="s">
        <v>1176</v>
      </c>
      <c r="C77" s="697"/>
      <c r="D77" s="697"/>
      <c r="E77" s="697"/>
      <c r="F77" s="698"/>
      <c r="G77" s="367">
        <f ca="1">'Hlavní list'!C62</f>
        <v>0</v>
      </c>
      <c r="H77" s="367">
        <f ca="1">'Hlavní list'!D62</f>
        <v>0</v>
      </c>
      <c r="I77" s="44"/>
      <c r="J77" s="484" t="b">
        <v>1</v>
      </c>
    </row>
    <row r="78" spans="1:10" ht="29.45" customHeight="1">
      <c r="A78" s="44"/>
      <c r="B78" s="658"/>
      <c r="C78" s="659"/>
      <c r="D78" s="659"/>
      <c r="E78" s="659"/>
      <c r="F78" s="659"/>
      <c r="G78" s="368"/>
      <c r="H78" s="369"/>
      <c r="I78" s="44"/>
      <c r="J78" s="484" t="b">
        <v>1</v>
      </c>
    </row>
    <row r="79" spans="1:10" ht="27" customHeight="1">
      <c r="A79" s="44"/>
      <c r="B79" s="696" t="s">
        <v>1179</v>
      </c>
      <c r="C79" s="697"/>
      <c r="D79" s="697"/>
      <c r="E79" s="697"/>
      <c r="F79" s="697"/>
      <c r="G79" s="698"/>
      <c r="H79" s="559">
        <f ca="1">'Hlavní list'!C59</f>
        <v>0</v>
      </c>
      <c r="I79" s="44"/>
      <c r="J79" s="484" t="b">
        <v>1</v>
      </c>
    </row>
    <row r="80" spans="1:10" ht="27" customHeight="1">
      <c r="A80" s="44"/>
      <c r="B80" s="696" t="s">
        <v>1183</v>
      </c>
      <c r="C80" s="697"/>
      <c r="D80" s="697"/>
      <c r="E80" s="697"/>
      <c r="F80" s="697"/>
      <c r="G80" s="698"/>
      <c r="H80" s="559">
        <f ca="1">'Hlavní list'!C55</f>
        <v>0</v>
      </c>
      <c r="I80" s="44"/>
      <c r="J80" s="484" t="b">
        <f>je_FVE</f>
        <v>0</v>
      </c>
    </row>
    <row r="81" spans="1:10" ht="27" customHeight="1">
      <c r="A81" s="44"/>
      <c r="B81" s="696" t="s">
        <v>1178</v>
      </c>
      <c r="C81" s="697"/>
      <c r="D81" s="697"/>
      <c r="E81" s="697"/>
      <c r="F81" s="697"/>
      <c r="G81" s="698"/>
      <c r="H81" s="560">
        <f ca="1">'Hlavní list'!C63</f>
        <v>0</v>
      </c>
      <c r="I81" s="44"/>
      <c r="J81" s="484" t="b">
        <v>1</v>
      </c>
    </row>
    <row r="82" spans="1:10" ht="27" customHeight="1">
      <c r="A82" s="44"/>
      <c r="B82" s="696" t="s">
        <v>1182</v>
      </c>
      <c r="C82" s="697"/>
      <c r="D82" s="697"/>
      <c r="E82" s="697"/>
      <c r="F82" s="697"/>
      <c r="G82" s="698"/>
      <c r="H82" s="560">
        <f ca="1">'Hlavní list'!C53</f>
        <v>0</v>
      </c>
      <c r="I82" s="44"/>
      <c r="J82" s="484" t="b">
        <v>1</v>
      </c>
    </row>
    <row r="83" spans="1:10" ht="27" customHeight="1">
      <c r="A83" s="44"/>
      <c r="B83" s="696" t="s">
        <v>822</v>
      </c>
      <c r="C83" s="697"/>
      <c r="D83" s="697"/>
      <c r="E83" s="697"/>
      <c r="F83" s="697"/>
      <c r="G83" s="698"/>
      <c r="H83" s="370">
        <f ca="1">'Hlavní list'!C64</f>
        <v>0</v>
      </c>
      <c r="I83" s="44"/>
      <c r="J83" s="484" t="b">
        <v>1</v>
      </c>
    </row>
    <row r="84" spans="1:10" ht="27" customHeight="1">
      <c r="A84" s="44"/>
      <c r="B84" s="696" t="s">
        <v>823</v>
      </c>
      <c r="C84" s="697"/>
      <c r="D84" s="697"/>
      <c r="E84" s="697"/>
      <c r="F84" s="697"/>
      <c r="G84" s="698"/>
      <c r="H84" s="560">
        <f ca="1">'Hlavní list'!C65</f>
        <v>0</v>
      </c>
      <c r="I84" s="44"/>
      <c r="J84" s="484" t="b">
        <v>1</v>
      </c>
    </row>
    <row r="85" spans="1:10" ht="27" customHeight="1">
      <c r="A85" s="44"/>
      <c r="B85" s="696" t="s">
        <v>771</v>
      </c>
      <c r="C85" s="697"/>
      <c r="D85" s="697"/>
      <c r="E85" s="697"/>
      <c r="F85" s="697"/>
      <c r="G85" s="698"/>
      <c r="H85" s="371">
        <f ca="1">'Hlavní list'!C66</f>
        <v>0</v>
      </c>
      <c r="I85" s="44"/>
      <c r="J85" s="484" t="b">
        <v>1</v>
      </c>
    </row>
    <row r="86" spans="1:10" ht="27" customHeight="1">
      <c r="A86" s="44"/>
      <c r="B86" s="696" t="s">
        <v>824</v>
      </c>
      <c r="C86" s="697"/>
      <c r="D86" s="697"/>
      <c r="E86" s="697"/>
      <c r="F86" s="697"/>
      <c r="G86" s="698"/>
      <c r="H86" s="371">
        <f ca="1">'Hlavní list'!C67</f>
        <v>0</v>
      </c>
      <c r="I86" s="44"/>
      <c r="J86" s="484" t="b">
        <v>1</v>
      </c>
    </row>
    <row r="87" spans="1:10" ht="27" customHeight="1">
      <c r="A87" s="44"/>
      <c r="B87" s="696" t="s">
        <v>825</v>
      </c>
      <c r="C87" s="697"/>
      <c r="D87" s="697"/>
      <c r="E87" s="697"/>
      <c r="F87" s="697"/>
      <c r="G87" s="698"/>
      <c r="H87" s="371">
        <f ca="1">'Hlavní list'!C68</f>
        <v>0</v>
      </c>
      <c r="I87" s="44"/>
      <c r="J87" s="484" t="b">
        <v>1</v>
      </c>
    </row>
    <row r="88" spans="1:10" ht="27" customHeight="1">
      <c r="A88" s="44"/>
      <c r="B88" s="696" t="s">
        <v>772</v>
      </c>
      <c r="C88" s="697"/>
      <c r="D88" s="697"/>
      <c r="E88" s="697"/>
      <c r="F88" s="697"/>
      <c r="G88" s="698"/>
      <c r="H88" s="370">
        <f ca="1">'Hlavní list'!C69</f>
        <v>0</v>
      </c>
      <c r="I88" s="44"/>
      <c r="J88" s="484" t="b">
        <v>1</v>
      </c>
    </row>
    <row r="89" spans="1:10" ht="27" customHeight="1">
      <c r="A89" s="44"/>
      <c r="B89" s="495"/>
      <c r="C89" s="495"/>
      <c r="D89" s="495"/>
      <c r="E89" s="495"/>
      <c r="F89" s="495"/>
      <c r="G89" s="495"/>
      <c r="H89" s="495"/>
      <c r="I89" s="44"/>
      <c r="J89" s="484" t="b">
        <v>1</v>
      </c>
    </row>
    <row r="90" spans="1:10" ht="27" customHeight="1">
      <c r="A90" s="44"/>
      <c r="B90" s="714" t="str">
        <f ca="1">'Hlavní list'!C71</f>
        <v>Nejsou správně vyplněna všechna data.</v>
      </c>
      <c r="C90" s="714"/>
      <c r="D90" s="714"/>
      <c r="E90" s="714"/>
      <c r="F90" s="714"/>
      <c r="G90" s="714"/>
      <c r="H90" s="714"/>
      <c r="I90" s="44"/>
      <c r="J90" s="484" t="b">
        <v>1</v>
      </c>
    </row>
    <row r="91" spans="1:10" ht="30" customHeight="1">
      <c r="A91" s="44"/>
      <c r="B91" s="359"/>
      <c r="C91" s="372"/>
      <c r="D91" s="373"/>
      <c r="E91" s="373"/>
      <c r="F91" s="44"/>
      <c r="G91" s="44"/>
      <c r="H91" s="44"/>
      <c r="I91" s="44"/>
      <c r="J91" s="484" t="b">
        <v>1</v>
      </c>
    </row>
    <row r="92" spans="1:10" ht="37.9" customHeight="1">
      <c r="A92" s="44"/>
      <c r="B92" s="374" t="s">
        <v>775</v>
      </c>
      <c r="C92" s="374"/>
      <c r="D92" s="703" t="s">
        <v>776</v>
      </c>
      <c r="E92" s="704"/>
      <c r="F92" s="705" t="s">
        <v>777</v>
      </c>
      <c r="G92" s="706"/>
      <c r="H92" s="706"/>
      <c r="I92" s="44"/>
      <c r="J92" s="484" t="b">
        <v>1</v>
      </c>
    </row>
    <row r="93" spans="1:10" ht="37.9" customHeight="1">
      <c r="A93" s="44"/>
      <c r="B93" s="707" t="str">
        <f>'Hlavní list'!B88</f>
        <v>Výměna zdroje</v>
      </c>
      <c r="C93" s="708"/>
      <c r="D93" s="709" t="str">
        <f>IF(ISBLANK('Hlavní list'!C88),"",'Hlavní list'!C88)</f>
        <v>, instalovaný výkon 0 kW, účinnost 0 %</v>
      </c>
      <c r="E93" s="710"/>
      <c r="F93" s="711" t="str">
        <f>IF(ISBLANK('Hlavní list'!E88),"",'Hlavní list'!E88)</f>
        <v/>
      </c>
      <c r="G93" s="712"/>
      <c r="H93" s="713"/>
      <c r="I93" s="44"/>
      <c r="J93" s="484" t="b">
        <f>'Hlavní list'!I88</f>
        <v>0</v>
      </c>
    </row>
    <row r="94" spans="1:10" ht="37.9" customHeight="1">
      <c r="A94" s="44"/>
      <c r="B94" s="707" t="str">
        <f>'Hlavní list'!B89</f>
        <v>Zateplení obvodového pláště</v>
      </c>
      <c r="C94" s="708"/>
      <c r="D94" s="709" t="str">
        <f ca="1">IF(ISBLANK('Hlavní list'!C89),"",'Hlavní list'!C89)</f>
        <v>,  tloušťka  mm, plocha 0 m2</v>
      </c>
      <c r="E94" s="710"/>
      <c r="F94" s="711" t="str">
        <f>IF(ISBLANK('Hlavní list'!E89),"",'Hlavní list'!E89)</f>
        <v>Zateplení obvodových stěn splňuje požadavky programu.</v>
      </c>
      <c r="G94" s="712"/>
      <c r="H94" s="713"/>
      <c r="I94" s="44"/>
      <c r="J94" s="484" t="b">
        <f ca="1">'Hlavní list'!I89</f>
        <v>0</v>
      </c>
    </row>
    <row r="95" spans="1:10" ht="37.9" customHeight="1">
      <c r="A95" s="44"/>
      <c r="B95" s="707" t="str">
        <f>'Hlavní list'!B90</f>
        <v>Zateplení střechy</v>
      </c>
      <c r="C95" s="708"/>
      <c r="D95" s="709" t="str">
        <f ca="1">IF(ISBLANK('Hlavní list'!C90),"",'Hlavní list'!C90)</f>
        <v>, tloušťka  mm, plocha 0 m2</v>
      </c>
      <c r="E95" s="710"/>
      <c r="F95" s="711" t="str">
        <f>IF(ISBLANK('Hlavní list'!E90),"",'Hlavní list'!E90)</f>
        <v>Zateplení střechy splňuje požadavky programu.</v>
      </c>
      <c r="G95" s="712"/>
      <c r="H95" s="713"/>
      <c r="I95" s="44"/>
      <c r="J95" s="484" t="b">
        <f ca="1">'Hlavní list'!I90</f>
        <v>0</v>
      </c>
    </row>
    <row r="96" spans="1:10" ht="37.9" customHeight="1">
      <c r="A96" s="44"/>
      <c r="B96" s="707" t="str">
        <f>'Hlavní list'!B91</f>
        <v>Zateplení podlahy</v>
      </c>
      <c r="C96" s="708"/>
      <c r="D96" s="709" t="str">
        <f ca="1">IF(ISBLANK('Hlavní list'!C91),"",'Hlavní list'!C91)</f>
        <v>, tloušťka  mm, plocha 0 m2</v>
      </c>
      <c r="E96" s="710"/>
      <c r="F96" s="711" t="str">
        <f>IF(ISBLANK('Hlavní list'!E91),"",'Hlavní list'!E91)</f>
        <v>Zateplení podlahy splňuje požadavky programu.</v>
      </c>
      <c r="G96" s="712"/>
      <c r="H96" s="713"/>
      <c r="I96" s="44"/>
      <c r="J96" s="484" t="b">
        <f ca="1">'Hlavní list'!I91</f>
        <v>0</v>
      </c>
    </row>
    <row r="97" spans="1:10" ht="37.9" customHeight="1">
      <c r="A97" s="44"/>
      <c r="B97" s="707" t="str">
        <f>'Hlavní list'!B92</f>
        <v xml:space="preserve">Výměna oken, výplní ve stěně </v>
      </c>
      <c r="C97" s="708"/>
      <c r="D97" s="709" t="str">
        <f ca="1">IF(ISBLANK('Hlavní list'!C92),"",'Hlavní list'!C92)</f>
        <v>, plocha 0 m2, součinitel prostupu tepla  W/(m2.K)</v>
      </c>
      <c r="E97" s="710"/>
      <c r="F97" s="711" t="str">
        <f ca="1">IF(ISBLANK('Hlavní list'!E92),"",'Hlavní list'!E92)</f>
        <v>Okna splňují požadavky programu.</v>
      </c>
      <c r="G97" s="712"/>
      <c r="H97" s="713"/>
      <c r="I97" s="44"/>
      <c r="J97" s="484" t="b">
        <f ca="1">'Hlavní list'!I92</f>
        <v>0</v>
      </c>
    </row>
    <row r="98" spans="1:10" ht="37.9" customHeight="1">
      <c r="A98" s="44"/>
      <c r="B98" s="707" t="str">
        <f>'Hlavní list'!B93</f>
        <v>Výměna dveří, vrat</v>
      </c>
      <c r="C98" s="708"/>
      <c r="D98" s="709" t="str">
        <f ca="1">IF(ISBLANK('Hlavní list'!C93),"",'Hlavní list'!C93)</f>
        <v>, plocha 0 m2, součinitel prostupu tepla  W/(m2.K)</v>
      </c>
      <c r="E98" s="710"/>
      <c r="F98" s="711" t="str">
        <f ca="1">IF(ISBLANK('Hlavní list'!E93),"",'Hlavní list'!E93)</f>
        <v>Dveře/vrata splňují požadavky programu.</v>
      </c>
      <c r="G98" s="712"/>
      <c r="H98" s="713"/>
      <c r="I98" s="44"/>
      <c r="J98" s="484" t="b">
        <f ca="1">'Hlavní list'!I93</f>
        <v>0</v>
      </c>
    </row>
    <row r="99" spans="1:10" ht="37.9" hidden="1" customHeight="1">
      <c r="A99" s="44"/>
      <c r="B99" s="707" t="str">
        <f>'Hlavní list'!B94</f>
        <v>Výměna střešních oken, světlíků</v>
      </c>
      <c r="C99" s="708"/>
      <c r="D99" s="709" t="str">
        <f ca="1">IF(ISBLANK('Hlavní list'!C94),"",'Hlavní list'!C94)</f>
        <v>, plocha 0 m2, součinitel prostupu tepla  W/(m2.K)</v>
      </c>
      <c r="E99" s="710"/>
      <c r="F99" s="711" t="str">
        <f ca="1">IF(ISBLANK('Hlavní list'!E94),"",'Hlavní list'!E94)</f>
        <v>Světlíky/střešní okna splňují požadavky programu.</v>
      </c>
      <c r="G99" s="712"/>
      <c r="H99" s="713"/>
      <c r="I99" s="44"/>
      <c r="J99" s="484" t="b">
        <f ca="1">'Hlavní list'!I94</f>
        <v>0</v>
      </c>
    </row>
    <row r="100" spans="1:10" ht="37.9" customHeight="1">
      <c r="A100" s="44"/>
      <c r="B100" s="707" t="str">
        <f>'Hlavní list'!B95</f>
        <v>Instalace mechanického větrání s rekuperací</v>
      </c>
      <c r="C100" s="708"/>
      <c r="D100" s="709" t="str">
        <f>IF(ISBLANK('Hlavní list'!C95),"",'Hlavní list'!C95)</f>
        <v/>
      </c>
      <c r="E100" s="710"/>
      <c r="F100" s="711" t="str">
        <f>IF(ISBLANK('Hlavní list'!E95),"",'Hlavní list'!E95)</f>
        <v/>
      </c>
      <c r="G100" s="712"/>
      <c r="H100" s="713"/>
      <c r="I100" s="44"/>
      <c r="J100" s="484" t="b">
        <f>'Hlavní list'!I95</f>
        <v>0</v>
      </c>
    </row>
    <row r="101" spans="1:10" ht="37.9" hidden="1" customHeight="1">
      <c r="A101" s="44"/>
      <c r="B101" s="707" t="str">
        <f>'Hlavní list'!B96</f>
        <v>Výměna klasických žárovek</v>
      </c>
      <c r="C101" s="708"/>
      <c r="D101" s="709" t="str">
        <f>IF(ISBLANK('Hlavní list'!C96),"",'Hlavní list'!C96)</f>
        <v>počet vyměňovaných zdrojů 0, celkový příkon 0 W, průměrný příkon zdroje 0 W</v>
      </c>
      <c r="E101" s="710"/>
      <c r="F101" s="711" t="str">
        <f>IF(ISBLANK('Hlavní list'!E96),"",'Hlavní list'!E96)</f>
        <v/>
      </c>
      <c r="G101" s="712"/>
      <c r="H101" s="713"/>
      <c r="I101" s="44"/>
      <c r="J101" s="484" t="b">
        <f>'Hlavní list'!I96</f>
        <v>0</v>
      </c>
    </row>
    <row r="102" spans="1:10" ht="37.9" hidden="1" customHeight="1">
      <c r="A102" s="44"/>
      <c r="B102" s="707" t="str">
        <f>'Hlavní list'!B97</f>
        <v>Výměna halogenových žárovek</v>
      </c>
      <c r="C102" s="708"/>
      <c r="D102" s="709" t="str">
        <f>IF(ISBLANK('Hlavní list'!C97),"",'Hlavní list'!C97)</f>
        <v>počet vyměňovaných zdrojů 0, celkový příkon 0 W, průměrný příkon zdroje 0 W</v>
      </c>
      <c r="E102" s="710"/>
      <c r="F102" s="711" t="str">
        <f>IF(ISBLANK('Hlavní list'!E97),"",'Hlavní list'!E97)</f>
        <v/>
      </c>
      <c r="G102" s="712"/>
      <c r="H102" s="713"/>
      <c r="I102" s="44"/>
      <c r="J102" s="484" t="b">
        <f>'Hlavní list'!I97</f>
        <v>0</v>
      </c>
    </row>
    <row r="103" spans="1:10" ht="37.9" hidden="1" customHeight="1">
      <c r="A103" s="44"/>
      <c r="B103" s="707" t="str">
        <f>'Hlavní list'!B98</f>
        <v>Výměna zářivek</v>
      </c>
      <c r="C103" s="708"/>
      <c r="D103" s="709" t="str">
        <f>IF(ISBLANK('Hlavní list'!C98),"",'Hlavní list'!C98)</f>
        <v>počet vyměňovaných zdrojů 0, celkový příkon 0 W, průměrný příkon zdroje 0 W</v>
      </c>
      <c r="E103" s="710"/>
      <c r="F103" s="711" t="str">
        <f>IF(ISBLANK('Hlavní list'!E98),"",'Hlavní list'!E98)</f>
        <v/>
      </c>
      <c r="G103" s="712"/>
      <c r="H103" s="713"/>
      <c r="I103" s="44"/>
      <c r="J103" s="484" t="b">
        <f>'Hlavní list'!I98</f>
        <v>0</v>
      </c>
    </row>
    <row r="104" spans="1:10" ht="42" customHeight="1">
      <c r="A104" s="44"/>
      <c r="B104" s="707" t="str">
        <f>'Hlavní list'!B99</f>
        <v>Výměna rtuťových výbojek</v>
      </c>
      <c r="C104" s="708"/>
      <c r="D104" s="709" t="str">
        <f>IF(ISBLANK('Hlavní list'!C99),"",'Hlavní list'!C99)</f>
        <v>počet vyměňovaných zdrojů 0, celkový příkon 0 W, průměrný příkon zdroje 0 W</v>
      </c>
      <c r="E104" s="710"/>
      <c r="F104" s="711" t="str">
        <f>IF(ISBLANK('Hlavní list'!E99),"",'Hlavní list'!E99)</f>
        <v/>
      </c>
      <c r="G104" s="712"/>
      <c r="H104" s="713"/>
      <c r="I104" s="44"/>
      <c r="J104" s="484" t="b">
        <f>'Hlavní list'!I99</f>
        <v>0</v>
      </c>
    </row>
    <row r="105" spans="1:10" ht="42" hidden="1" customHeight="1">
      <c r="A105" s="44"/>
      <c r="B105" s="707" t="str">
        <f>'Hlavní list'!B100</f>
        <v>Výměna kompaktních zářivek (CFL)</v>
      </c>
      <c r="C105" s="708"/>
      <c r="D105" s="709" t="str">
        <f>IF(ISBLANK('Hlavní list'!C100),"",'Hlavní list'!C100)</f>
        <v>počet vyměňovaných zdrojů 0, celkový příkon 0 W, průměrný příkon zdroje 0 W</v>
      </c>
      <c r="E105" s="710"/>
      <c r="F105" s="711" t="str">
        <f>IF(ISBLANK('Hlavní list'!E100),"",'Hlavní list'!E100)</f>
        <v/>
      </c>
      <c r="G105" s="712"/>
      <c r="H105" s="713"/>
      <c r="I105" s="44"/>
      <c r="J105" s="484" t="b">
        <f>'Hlavní list'!I100</f>
        <v>0</v>
      </c>
    </row>
    <row r="106" spans="1:10" ht="42" customHeight="1">
      <c r="A106" s="44"/>
      <c r="B106" s="707" t="str">
        <f>'Hlavní list'!B101</f>
        <v>FVE</v>
      </c>
      <c r="C106" s="708"/>
      <c r="D106" s="709" t="str">
        <f>IF(ISBLANK('Hlavní list'!C101),"",'Hlavní list'!C101)</f>
        <v/>
      </c>
      <c r="E106" s="710"/>
      <c r="F106" s="711" t="str">
        <f>IF(ISBLANK('Hlavní list'!E101),"",'Hlavní list'!E101)</f>
        <v/>
      </c>
      <c r="G106" s="712"/>
      <c r="H106" s="713"/>
      <c r="I106" s="44"/>
      <c r="J106" s="484" t="b">
        <f>'Hlavní list'!I101</f>
        <v>0</v>
      </c>
    </row>
    <row r="107" spans="1:10" ht="42" customHeight="1">
      <c r="A107" s="44"/>
      <c r="B107" s="375"/>
      <c r="C107" s="375"/>
      <c r="D107" s="376"/>
      <c r="E107" s="376"/>
      <c r="F107" s="377"/>
      <c r="G107" s="377"/>
      <c r="H107" s="377"/>
      <c r="I107" s="44"/>
      <c r="J107" s="484" t="b">
        <v>1</v>
      </c>
    </row>
    <row r="108" spans="1:10" ht="42" customHeight="1">
      <c r="A108" s="44"/>
      <c r="B108" s="375"/>
      <c r="C108" s="375"/>
      <c r="D108" s="376"/>
      <c r="E108" s="376"/>
      <c r="F108" s="377"/>
      <c r="G108" s="377"/>
      <c r="H108" s="377"/>
      <c r="I108" s="44"/>
      <c r="J108" s="484" t="b">
        <v>1</v>
      </c>
    </row>
    <row r="109" spans="1:10" ht="42" customHeight="1">
      <c r="A109" s="44"/>
      <c r="B109" s="696" t="s">
        <v>826</v>
      </c>
      <c r="C109" s="697"/>
      <c r="D109" s="697"/>
      <c r="E109" s="697"/>
      <c r="F109" s="698"/>
      <c r="G109" s="378">
        <f ca="1">H74</f>
        <v>0</v>
      </c>
      <c r="H109" s="379" t="s">
        <v>447</v>
      </c>
      <c r="I109" s="44"/>
      <c r="J109" s="484" t="b">
        <v>1</v>
      </c>
    </row>
    <row r="110" spans="1:10" ht="42" customHeight="1">
      <c r="A110" s="44"/>
      <c r="B110" s="696" t="s">
        <v>827</v>
      </c>
      <c r="C110" s="697"/>
      <c r="D110" s="697"/>
      <c r="E110" s="697"/>
      <c r="F110" s="698"/>
      <c r="G110" s="718">
        <f>G61</f>
        <v>0</v>
      </c>
      <c r="H110" s="719"/>
      <c r="I110" s="44"/>
      <c r="J110" s="484" t="b">
        <v>1</v>
      </c>
    </row>
    <row r="111" spans="1:10" ht="42" customHeight="1">
      <c r="A111" s="44"/>
      <c r="B111" s="696" t="s">
        <v>828</v>
      </c>
      <c r="C111" s="697"/>
      <c r="D111" s="697"/>
      <c r="E111" s="697"/>
      <c r="F111" s="698"/>
      <c r="G111" s="380">
        <f ca="1">H83</f>
        <v>0</v>
      </c>
      <c r="H111" s="379" t="s">
        <v>98</v>
      </c>
      <c r="I111" s="44"/>
      <c r="J111" s="484" t="b">
        <v>1</v>
      </c>
    </row>
    <row r="112" spans="1:10" ht="42" customHeight="1">
      <c r="A112" s="44"/>
      <c r="B112" s="696" t="s">
        <v>829</v>
      </c>
      <c r="C112" s="697"/>
      <c r="D112" s="697"/>
      <c r="E112" s="697"/>
      <c r="F112" s="698"/>
      <c r="G112" s="381">
        <f ca="1">IFERROR(G61/H83,0)</f>
        <v>0</v>
      </c>
      <c r="H112" s="382" t="s">
        <v>425</v>
      </c>
      <c r="I112" s="44"/>
      <c r="J112" s="484" t="b">
        <v>1</v>
      </c>
    </row>
    <row r="113" spans="1:10" ht="84.75" customHeight="1">
      <c r="A113" s="44"/>
      <c r="B113" s="496"/>
      <c r="C113" s="496"/>
      <c r="D113" s="496"/>
      <c r="E113" s="496"/>
      <c r="F113" s="496"/>
      <c r="G113" s="496"/>
      <c r="H113" s="44"/>
      <c r="I113" s="44"/>
      <c r="J113" s="484" t="b">
        <v>1</v>
      </c>
    </row>
    <row r="114" spans="1:10" ht="125.25" customHeight="1">
      <c r="A114" s="44"/>
      <c r="B114" s="715" t="s">
        <v>1160</v>
      </c>
      <c r="C114" s="715"/>
      <c r="D114" s="715"/>
      <c r="E114" s="715"/>
      <c r="F114" s="715"/>
      <c r="G114" s="715"/>
      <c r="H114" s="715"/>
      <c r="I114" s="44"/>
      <c r="J114" s="484" t="b">
        <v>1</v>
      </c>
    </row>
    <row r="115" spans="1:10" ht="103.5" customHeight="1">
      <c r="A115" s="44"/>
      <c r="B115" s="715" t="s">
        <v>830</v>
      </c>
      <c r="C115" s="715"/>
      <c r="D115" s="715"/>
      <c r="E115" s="715"/>
      <c r="F115" s="715"/>
      <c r="G115" s="715"/>
      <c r="H115" s="715"/>
      <c r="I115" s="44"/>
      <c r="J115" s="484" t="b">
        <v>1</v>
      </c>
    </row>
    <row r="116" spans="1:10" ht="42" customHeight="1">
      <c r="A116" s="44"/>
      <c r="B116" s="375"/>
      <c r="C116" s="375"/>
      <c r="D116" s="376"/>
      <c r="E116" s="376"/>
      <c r="F116" s="383"/>
      <c r="G116" s="383"/>
      <c r="H116" s="44"/>
      <c r="I116" s="44"/>
      <c r="J116" s="484" t="b">
        <v>1</v>
      </c>
    </row>
    <row r="117" spans="1:10" ht="22.15" customHeight="1">
      <c r="A117" s="44"/>
      <c r="B117" s="375"/>
      <c r="C117" s="375"/>
      <c r="D117" s="376"/>
      <c r="E117" s="376"/>
      <c r="F117" s="383"/>
      <c r="G117" s="383"/>
      <c r="H117" s="44"/>
      <c r="I117" s="44"/>
      <c r="J117" s="484" t="b">
        <v>1</v>
      </c>
    </row>
    <row r="118" spans="1:10" ht="22.15" customHeight="1">
      <c r="A118" s="44"/>
      <c r="B118" s="44"/>
      <c r="C118" s="44"/>
      <c r="D118" s="44"/>
      <c r="E118" s="44"/>
      <c r="F118" s="44"/>
      <c r="G118" s="44"/>
      <c r="H118" s="44"/>
      <c r="I118" s="44"/>
      <c r="J118" s="484" t="b">
        <v>1</v>
      </c>
    </row>
    <row r="119" spans="1:10" ht="19.149999999999999" customHeight="1">
      <c r="A119" s="44"/>
      <c r="B119" s="44"/>
      <c r="C119" s="44"/>
      <c r="D119" s="44"/>
      <c r="E119" s="376"/>
      <c r="F119" s="383"/>
      <c r="G119" s="383"/>
      <c r="H119" s="44"/>
      <c r="I119" s="44"/>
      <c r="J119" s="484" t="b">
        <v>1</v>
      </c>
    </row>
    <row r="120" spans="1:10">
      <c r="A120" s="44"/>
      <c r="B120" s="44"/>
      <c r="C120" s="44"/>
      <c r="D120" s="497"/>
      <c r="E120" s="497"/>
      <c r="F120" s="497"/>
      <c r="G120" s="44"/>
      <c r="H120" s="44"/>
      <c r="I120" s="44"/>
      <c r="J120" s="484" t="b">
        <v>1</v>
      </c>
    </row>
    <row r="121" spans="1:10">
      <c r="A121" s="44"/>
      <c r="B121" s="384" t="s">
        <v>831</v>
      </c>
      <c r="C121" s="385">
        <f ca="1">TODAY()</f>
        <v>45568</v>
      </c>
      <c r="D121" s="44"/>
      <c r="E121" s="716"/>
      <c r="F121" s="716"/>
      <c r="G121" s="716"/>
      <c r="H121" s="44"/>
      <c r="I121" s="44"/>
      <c r="J121" s="484" t="b">
        <v>1</v>
      </c>
    </row>
    <row r="122" spans="1:10">
      <c r="A122" s="44"/>
      <c r="E122" s="717" t="s">
        <v>832</v>
      </c>
      <c r="F122" s="717"/>
      <c r="G122" s="717"/>
      <c r="I122" s="44"/>
      <c r="J122" s="484" t="b">
        <v>1</v>
      </c>
    </row>
    <row r="123" spans="1:10" ht="15" customHeight="1">
      <c r="A123" s="44"/>
      <c r="B123" s="44"/>
      <c r="C123" s="44"/>
      <c r="D123" s="44"/>
      <c r="E123" s="44"/>
      <c r="F123" s="44"/>
      <c r="G123" s="44"/>
      <c r="H123" s="44"/>
      <c r="I123" s="44"/>
    </row>
    <row r="124" spans="1:10" ht="15" customHeight="1">
      <c r="A124" s="44"/>
      <c r="B124" s="44"/>
      <c r="C124" s="44"/>
      <c r="D124" s="44"/>
      <c r="E124" s="44"/>
      <c r="F124" s="44"/>
      <c r="G124" s="44"/>
      <c r="H124" s="44"/>
      <c r="I124" s="44"/>
    </row>
    <row r="125" spans="1:10" ht="15" customHeight="1">
      <c r="A125" s="44"/>
      <c r="B125" s="44"/>
      <c r="C125" s="44"/>
      <c r="D125" s="44"/>
      <c r="E125" s="44"/>
      <c r="F125" s="44"/>
      <c r="G125" s="44"/>
      <c r="H125" s="44"/>
      <c r="I125" s="44"/>
    </row>
    <row r="126" spans="1:10" ht="15" customHeight="1">
      <c r="A126" s="44"/>
      <c r="B126" s="44"/>
      <c r="C126" s="44"/>
      <c r="D126" s="44"/>
      <c r="E126" s="44"/>
      <c r="F126" s="44"/>
      <c r="G126" s="44"/>
      <c r="H126" s="44"/>
      <c r="I126" s="44"/>
    </row>
    <row r="127" spans="1:10" ht="15" customHeight="1">
      <c r="A127" s="44"/>
      <c r="B127" s="44"/>
      <c r="C127" s="44"/>
      <c r="D127" s="44"/>
      <c r="E127" s="44"/>
      <c r="F127" s="44"/>
      <c r="G127" s="44"/>
      <c r="H127" s="44"/>
      <c r="I127" s="44"/>
    </row>
    <row r="128" spans="1:10" ht="15" customHeight="1">
      <c r="A128" s="44"/>
      <c r="B128" s="44"/>
      <c r="C128" s="44"/>
      <c r="D128" s="44"/>
      <c r="E128" s="44"/>
      <c r="F128" s="44"/>
      <c r="G128" s="44"/>
      <c r="H128" s="44"/>
      <c r="I128" s="44"/>
    </row>
  </sheetData>
  <sheetProtection algorithmName="SHA-512" hashValue="GdXlkbu0tVXOEVY3dWlEtJI66W3Jmw+lJRWRJaHUIP+XmtcLrkgbKCzgFPFThAnxDIltSsvjYIJqlhAN/aIDhQ==" saltValue="sGjHDvJjvCKHE37W9q/evw==" spinCount="100000" sheet="1" objects="1" scenarios="1"/>
  <mergeCells count="148">
    <mergeCell ref="F37:H37"/>
    <mergeCell ref="B90:H90"/>
    <mergeCell ref="B111:F111"/>
    <mergeCell ref="B112:F112"/>
    <mergeCell ref="B114:H114"/>
    <mergeCell ref="B115:H115"/>
    <mergeCell ref="E121:G121"/>
    <mergeCell ref="E122:G122"/>
    <mergeCell ref="B106:C106"/>
    <mergeCell ref="D106:E106"/>
    <mergeCell ref="F106:H106"/>
    <mergeCell ref="B109:F109"/>
    <mergeCell ref="B110:F110"/>
    <mergeCell ref="G110:H110"/>
    <mergeCell ref="B104:C104"/>
    <mergeCell ref="D104:E104"/>
    <mergeCell ref="F104:H104"/>
    <mergeCell ref="B105:C105"/>
    <mergeCell ref="D105:E105"/>
    <mergeCell ref="F105:H105"/>
    <mergeCell ref="B102:C102"/>
    <mergeCell ref="D102:E102"/>
    <mergeCell ref="F102:H102"/>
    <mergeCell ref="B103:C103"/>
    <mergeCell ref="D103:E103"/>
    <mergeCell ref="F103:H103"/>
    <mergeCell ref="B100:C100"/>
    <mergeCell ref="D100:E100"/>
    <mergeCell ref="F100:H100"/>
    <mergeCell ref="B101:C101"/>
    <mergeCell ref="D101:E101"/>
    <mergeCell ref="F101:H101"/>
    <mergeCell ref="B98:C98"/>
    <mergeCell ref="D98:E98"/>
    <mergeCell ref="F98:H98"/>
    <mergeCell ref="B99:C99"/>
    <mergeCell ref="D99:E99"/>
    <mergeCell ref="F99:H99"/>
    <mergeCell ref="B96:C96"/>
    <mergeCell ref="D96:E96"/>
    <mergeCell ref="F96:H96"/>
    <mergeCell ref="B97:C97"/>
    <mergeCell ref="D97:E97"/>
    <mergeCell ref="F97:H97"/>
    <mergeCell ref="B94:C94"/>
    <mergeCell ref="D94:E94"/>
    <mergeCell ref="F94:H94"/>
    <mergeCell ref="B95:C95"/>
    <mergeCell ref="D95:E95"/>
    <mergeCell ref="F95:H95"/>
    <mergeCell ref="B88:G88"/>
    <mergeCell ref="D92:E92"/>
    <mergeCell ref="F92:H92"/>
    <mergeCell ref="B93:C93"/>
    <mergeCell ref="D93:E93"/>
    <mergeCell ref="F93:H93"/>
    <mergeCell ref="B79:G79"/>
    <mergeCell ref="B83:G83"/>
    <mergeCell ref="B84:G84"/>
    <mergeCell ref="B85:G85"/>
    <mergeCell ref="B86:G86"/>
    <mergeCell ref="B87:G87"/>
    <mergeCell ref="B80:G80"/>
    <mergeCell ref="B81:G81"/>
    <mergeCell ref="B82:G82"/>
    <mergeCell ref="B71:F71"/>
    <mergeCell ref="B72:F72"/>
    <mergeCell ref="B73:F73"/>
    <mergeCell ref="B74:F74"/>
    <mergeCell ref="B78:F78"/>
    <mergeCell ref="B61:F61"/>
    <mergeCell ref="G61:H61"/>
    <mergeCell ref="B64:F64"/>
    <mergeCell ref="B65:F65"/>
    <mergeCell ref="B66:F66"/>
    <mergeCell ref="B67:F67"/>
    <mergeCell ref="B68:F68"/>
    <mergeCell ref="B69:F69"/>
    <mergeCell ref="B70:F70"/>
    <mergeCell ref="B75:F75"/>
    <mergeCell ref="B76:F76"/>
    <mergeCell ref="B77:F77"/>
    <mergeCell ref="B58:F58"/>
    <mergeCell ref="G58:H58"/>
    <mergeCell ref="B59:F59"/>
    <mergeCell ref="G59:H59"/>
    <mergeCell ref="B60:F60"/>
    <mergeCell ref="G60:H60"/>
    <mergeCell ref="B55:F55"/>
    <mergeCell ref="G55:H55"/>
    <mergeCell ref="B56:F56"/>
    <mergeCell ref="G56:H56"/>
    <mergeCell ref="B57:F57"/>
    <mergeCell ref="G57:H57"/>
    <mergeCell ref="B32:E32"/>
    <mergeCell ref="B41:E41"/>
    <mergeCell ref="B42:E42"/>
    <mergeCell ref="B43:E43"/>
    <mergeCell ref="B44:E44"/>
    <mergeCell ref="B45:E45"/>
    <mergeCell ref="B27:E27"/>
    <mergeCell ref="B28:E28"/>
    <mergeCell ref="B33:E33"/>
    <mergeCell ref="B34:E34"/>
    <mergeCell ref="B35:E35"/>
    <mergeCell ref="B36:E36"/>
    <mergeCell ref="B39:E39"/>
    <mergeCell ref="B40:E40"/>
    <mergeCell ref="B37:E38"/>
    <mergeCell ref="E9:H9"/>
    <mergeCell ref="B10:D10"/>
    <mergeCell ref="E10:H10"/>
    <mergeCell ref="B31:E31"/>
    <mergeCell ref="B29:E29"/>
    <mergeCell ref="B18:E18"/>
    <mergeCell ref="B19:E19"/>
    <mergeCell ref="B20:E20"/>
    <mergeCell ref="B24:E24"/>
    <mergeCell ref="B25:E25"/>
    <mergeCell ref="B26:E26"/>
    <mergeCell ref="B21:E21"/>
    <mergeCell ref="B30:E30"/>
    <mergeCell ref="B22:E23"/>
    <mergeCell ref="F22:H22"/>
    <mergeCell ref="F4:H4"/>
    <mergeCell ref="B47:E48"/>
    <mergeCell ref="F47:H47"/>
    <mergeCell ref="B52:E52"/>
    <mergeCell ref="B53:E53"/>
    <mergeCell ref="B50:E50"/>
    <mergeCell ref="B51:E51"/>
    <mergeCell ref="B49:E49"/>
    <mergeCell ref="B2:H2"/>
    <mergeCell ref="B3:H3"/>
    <mergeCell ref="B6:D6"/>
    <mergeCell ref="E6:H6"/>
    <mergeCell ref="B7:D7"/>
    <mergeCell ref="E7:H7"/>
    <mergeCell ref="B11:D11"/>
    <mergeCell ref="E11:H11"/>
    <mergeCell ref="B12:D12"/>
    <mergeCell ref="E12:H12"/>
    <mergeCell ref="B14:H14"/>
    <mergeCell ref="B16:E17"/>
    <mergeCell ref="F16:H16"/>
    <mergeCell ref="B8:D8"/>
    <mergeCell ref="E8:H8"/>
    <mergeCell ref="B9:D9"/>
  </mergeCells>
  <conditionalFormatting sqref="H85:H87">
    <cfRule type="cellIs" dxfId="50" priority="2" operator="greaterThan">
      <formula>10</formula>
    </cfRule>
  </conditionalFormatting>
  <conditionalFormatting sqref="B90:H90">
    <cfRule type="expression" dxfId="49" priority="1">
      <formula>AND(Kontrola,Způsobilost)</formula>
    </cfRule>
  </conditionalFormatting>
  <pageMargins left="0.70866141732283472" right="0.70866141732283472" top="0.78740157480314965" bottom="0.78740157480314965" header="0.31496062992125984" footer="0.31496062992125984"/>
  <pageSetup paperSize="9" scale="90" fitToHeight="0" orientation="portrait" r:id="rId1"/>
  <headerFooter>
    <oddFooter>&amp;L&amp;D&amp;R&amp;P/&amp;N</oddFooter>
  </headerFooter>
  <rowBreaks count="6" manualBreakCount="6">
    <brk id="21" min="1" max="7" man="1"/>
    <brk id="36" min="1" max="7" man="1"/>
    <brk id="54" min="1" max="7" man="1"/>
    <brk id="77" min="1" max="7" man="1"/>
    <brk id="91" min="1" max="7" man="1"/>
    <brk id="108" min="1" max="7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6081" r:id="rId4" name="Button 1">
              <controlPr defaultSize="0" print="0" autoFill="0" autoPict="0" macro="[0]!Tisk">
                <anchor moveWithCells="1">
                  <from>
                    <xdr:col>1</xdr:col>
                    <xdr:colOff>542925</xdr:colOff>
                    <xdr:row>124</xdr:row>
                    <xdr:rowOff>104775</xdr:rowOff>
                  </from>
                  <to>
                    <xdr:col>4</xdr:col>
                    <xdr:colOff>352425</xdr:colOff>
                    <xdr:row>126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6082" r:id="rId5" name="Button 2">
              <controlPr defaultSize="0" print="0" autoFill="0" autoPict="0" macro="[0]!TiskDoPdf">
                <anchor moveWithCells="1">
                  <from>
                    <xdr:col>4</xdr:col>
                    <xdr:colOff>1152525</xdr:colOff>
                    <xdr:row>124</xdr:row>
                    <xdr:rowOff>104775</xdr:rowOff>
                  </from>
                  <to>
                    <xdr:col>6</xdr:col>
                    <xdr:colOff>657225</xdr:colOff>
                    <xdr:row>126</xdr:row>
                    <xdr:rowOff>161925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4CF42-669D-4359-92F0-0EC1D719C286}">
  <sheetPr codeName="List18"/>
  <dimension ref="A1:EV25"/>
  <sheetViews>
    <sheetView workbookViewId="0"/>
  </sheetViews>
  <sheetFormatPr defaultColWidth="9.140625" defaultRowHeight="15"/>
  <cols>
    <col min="1" max="2" width="11.28515625" bestFit="1" customWidth="1"/>
    <col min="7" max="7" width="9.85546875" customWidth="1"/>
    <col min="8" max="8" width="10" customWidth="1"/>
    <col min="9" max="12" width="15.7109375" bestFit="1" customWidth="1"/>
    <col min="15" max="15" width="10.85546875" customWidth="1"/>
    <col min="16" max="16" width="11.42578125" customWidth="1"/>
    <col min="18" max="18" width="17.5703125" bestFit="1" customWidth="1"/>
    <col min="29" max="29" width="11.7109375" customWidth="1"/>
    <col min="30" max="30" width="11.5703125" customWidth="1"/>
    <col min="31" max="31" width="11.140625" customWidth="1"/>
    <col min="32" max="32" width="11.7109375" customWidth="1"/>
    <col min="33" max="33" width="10.42578125" customWidth="1"/>
    <col min="34" max="34" width="12.85546875" customWidth="1"/>
    <col min="35" max="35" width="12.42578125" customWidth="1"/>
    <col min="92" max="92" width="11" customWidth="1"/>
    <col min="136" max="136" width="11.28515625" bestFit="1" customWidth="1"/>
    <col min="137" max="137" width="14.28515625" customWidth="1"/>
    <col min="138" max="138" width="14.42578125" customWidth="1"/>
    <col min="139" max="139" width="14.5703125" customWidth="1"/>
    <col min="140" max="140" width="14.42578125" customWidth="1"/>
    <col min="141" max="141" width="14.85546875" customWidth="1"/>
    <col min="142" max="147" width="11.28515625" customWidth="1"/>
    <col min="148" max="148" width="12.42578125" customWidth="1"/>
    <col min="149" max="149" width="14.7109375" customWidth="1"/>
    <col min="150" max="150" width="12.7109375" customWidth="1"/>
    <col min="151" max="151" width="11.140625" customWidth="1"/>
    <col min="152" max="152" width="15.28515625" customWidth="1"/>
  </cols>
  <sheetData>
    <row r="1" spans="1:152" s="534" customFormat="1">
      <c r="A1" s="534" t="s">
        <v>1070</v>
      </c>
      <c r="Q1" s="534" t="s">
        <v>453</v>
      </c>
      <c r="CK1" s="534" t="s">
        <v>795</v>
      </c>
      <c r="CY1" s="534" t="s">
        <v>448</v>
      </c>
      <c r="EC1" s="534" t="s">
        <v>1070</v>
      </c>
      <c r="ER1" s="534" t="s">
        <v>0</v>
      </c>
    </row>
    <row r="2" spans="1:152" s="535" customFormat="1">
      <c r="Q2" s="535" t="s">
        <v>1071</v>
      </c>
      <c r="AC2" s="535" t="s">
        <v>1072</v>
      </c>
      <c r="AI2" s="535" t="s">
        <v>1073</v>
      </c>
      <c r="AQ2" s="535" t="s">
        <v>1074</v>
      </c>
      <c r="CK2" s="535" t="s">
        <v>1075</v>
      </c>
      <c r="CS2" s="535" t="s">
        <v>1076</v>
      </c>
      <c r="CY2" s="535" t="s">
        <v>1077</v>
      </c>
      <c r="EC2" s="535" t="s">
        <v>1078</v>
      </c>
      <c r="ER2" s="536"/>
      <c r="ES2" s="536"/>
      <c r="ET2" s="536"/>
      <c r="EU2" s="536"/>
      <c r="EV2" s="536"/>
    </row>
    <row r="3" spans="1:152" s="535" customFormat="1">
      <c r="Q3" s="535" t="s">
        <v>3</v>
      </c>
      <c r="R3" s="535" t="s">
        <v>6</v>
      </c>
      <c r="S3" s="535" t="s">
        <v>269</v>
      </c>
      <c r="T3" s="535" t="s">
        <v>12</v>
      </c>
      <c r="U3" s="535" t="s">
        <v>14</v>
      </c>
      <c r="V3" s="535" t="s">
        <v>150</v>
      </c>
      <c r="W3" s="535" t="s">
        <v>152</v>
      </c>
      <c r="X3" s="535" t="s">
        <v>155</v>
      </c>
      <c r="Y3" s="535" t="s">
        <v>157</v>
      </c>
      <c r="Z3" s="535" t="s">
        <v>160</v>
      </c>
      <c r="AA3" s="535" t="s">
        <v>279</v>
      </c>
      <c r="AB3" s="535" t="s">
        <v>1079</v>
      </c>
      <c r="AC3" s="535" t="s">
        <v>104</v>
      </c>
      <c r="AD3" s="535" t="s">
        <v>81</v>
      </c>
      <c r="AE3" s="535" t="s">
        <v>167</v>
      </c>
      <c r="AF3" s="535" t="s">
        <v>168</v>
      </c>
      <c r="AG3" s="535" t="s">
        <v>169</v>
      </c>
      <c r="AH3" s="535" t="s">
        <v>170</v>
      </c>
      <c r="AI3" s="535" t="s">
        <v>289</v>
      </c>
      <c r="AJ3" s="535" t="s">
        <v>293</v>
      </c>
      <c r="AK3" s="535" t="s">
        <v>1080</v>
      </c>
      <c r="AL3" s="535" t="s">
        <v>1081</v>
      </c>
      <c r="AM3" s="535" t="s">
        <v>1082</v>
      </c>
      <c r="AN3" s="535" t="s">
        <v>1083</v>
      </c>
      <c r="AO3" s="535" t="s">
        <v>1084</v>
      </c>
      <c r="AP3" s="535" t="s">
        <v>1085</v>
      </c>
      <c r="AQ3" s="535" t="s">
        <v>1086</v>
      </c>
      <c r="AR3" s="535" t="s">
        <v>311</v>
      </c>
      <c r="AS3" s="535" t="s">
        <v>314</v>
      </c>
      <c r="AT3" s="535" t="s">
        <v>316</v>
      </c>
      <c r="AU3" s="535" t="s">
        <v>318</v>
      </c>
      <c r="AV3" s="535" t="s">
        <v>321</v>
      </c>
      <c r="AW3" s="535" t="s">
        <v>323</v>
      </c>
      <c r="AX3" s="535" t="s">
        <v>326</v>
      </c>
      <c r="AY3" s="535" t="s">
        <v>1087</v>
      </c>
      <c r="AZ3" s="535" t="s">
        <v>330</v>
      </c>
      <c r="BA3" s="535" t="s">
        <v>332</v>
      </c>
      <c r="BB3" s="535" t="s">
        <v>333</v>
      </c>
      <c r="BC3" s="535" t="s">
        <v>334</v>
      </c>
      <c r="BD3" s="535" t="s">
        <v>335</v>
      </c>
      <c r="BE3" s="535" t="s">
        <v>336</v>
      </c>
      <c r="BF3" s="535" t="s">
        <v>337</v>
      </c>
      <c r="BG3" s="535" t="s">
        <v>1088</v>
      </c>
      <c r="BH3" s="535" t="s">
        <v>340</v>
      </c>
      <c r="BI3" s="535" t="s">
        <v>341</v>
      </c>
      <c r="BJ3" s="535" t="s">
        <v>342</v>
      </c>
      <c r="BK3" s="535" t="s">
        <v>343</v>
      </c>
      <c r="BL3" s="535" t="s">
        <v>345</v>
      </c>
      <c r="BM3" s="535" t="s">
        <v>346</v>
      </c>
      <c r="BN3" s="535" t="s">
        <v>348</v>
      </c>
      <c r="BO3" s="535" t="s">
        <v>1089</v>
      </c>
      <c r="BP3" s="535" t="s">
        <v>351</v>
      </c>
      <c r="BQ3" s="535" t="s">
        <v>354</v>
      </c>
      <c r="BR3" s="535" t="s">
        <v>356</v>
      </c>
      <c r="BS3" s="535" t="s">
        <v>358</v>
      </c>
      <c r="BT3" s="535" t="s">
        <v>359</v>
      </c>
      <c r="BU3" s="535" t="s">
        <v>1090</v>
      </c>
      <c r="BV3" s="535" t="s">
        <v>362</v>
      </c>
      <c r="BW3" s="535" t="s">
        <v>365</v>
      </c>
      <c r="BX3" s="535" t="s">
        <v>367</v>
      </c>
      <c r="BY3" s="535" t="s">
        <v>369</v>
      </c>
      <c r="BZ3" s="535" t="s">
        <v>370</v>
      </c>
      <c r="CA3" s="535" t="s">
        <v>1091</v>
      </c>
      <c r="CB3" s="535" t="s">
        <v>373</v>
      </c>
      <c r="CC3" s="535" t="s">
        <v>375</v>
      </c>
      <c r="CD3" s="535" t="s">
        <v>377</v>
      </c>
      <c r="CE3" s="535" t="s">
        <v>379</v>
      </c>
      <c r="CF3" s="535" t="s">
        <v>380</v>
      </c>
      <c r="CG3" s="535" t="s">
        <v>1092</v>
      </c>
      <c r="CH3" s="535" t="s">
        <v>1093</v>
      </c>
      <c r="CI3" s="535" t="s">
        <v>1094</v>
      </c>
      <c r="CK3" s="535" t="s">
        <v>3</v>
      </c>
      <c r="CL3" s="535" t="s">
        <v>6</v>
      </c>
      <c r="CM3" s="535" t="s">
        <v>9</v>
      </c>
      <c r="CN3" s="535" t="s">
        <v>12</v>
      </c>
      <c r="CO3" s="535" t="s">
        <v>14</v>
      </c>
      <c r="CP3" s="535" t="s">
        <v>150</v>
      </c>
      <c r="CQ3" s="535" t="s">
        <v>152</v>
      </c>
      <c r="CR3" s="535" t="s">
        <v>155</v>
      </c>
      <c r="CS3" s="535" t="s">
        <v>104</v>
      </c>
      <c r="CT3" s="535" t="s">
        <v>81</v>
      </c>
      <c r="CU3" s="535" t="s">
        <v>167</v>
      </c>
      <c r="CV3" s="535" t="s">
        <v>168</v>
      </c>
      <c r="CW3" s="535" t="s">
        <v>169</v>
      </c>
      <c r="CX3" s="535" t="s">
        <v>170</v>
      </c>
      <c r="CY3" s="535" t="s">
        <v>38</v>
      </c>
      <c r="CZ3" s="535" t="s">
        <v>40</v>
      </c>
      <c r="DA3" s="535" t="s">
        <v>42</v>
      </c>
      <c r="DB3" s="535" t="s">
        <v>44</v>
      </c>
      <c r="DC3" s="535" t="s">
        <v>1095</v>
      </c>
      <c r="DD3" s="535" t="s">
        <v>48</v>
      </c>
      <c r="DE3" s="535" t="s">
        <v>50</v>
      </c>
      <c r="DF3" s="535" t="s">
        <v>51</v>
      </c>
      <c r="DG3" s="535" t="s">
        <v>53</v>
      </c>
      <c r="DH3" s="535" t="s">
        <v>1096</v>
      </c>
      <c r="DI3" s="537" t="s">
        <v>55</v>
      </c>
      <c r="DJ3" s="537" t="s">
        <v>57</v>
      </c>
      <c r="DK3" s="537" t="s">
        <v>58</v>
      </c>
      <c r="DL3" s="537" t="s">
        <v>60</v>
      </c>
      <c r="DM3" s="537" t="s">
        <v>1097</v>
      </c>
      <c r="DN3" s="535" t="s">
        <v>62</v>
      </c>
      <c r="DO3" s="535" t="s">
        <v>64</v>
      </c>
      <c r="DP3" s="535" t="s">
        <v>65</v>
      </c>
      <c r="DQ3" s="535" t="s">
        <v>67</v>
      </c>
      <c r="DR3" s="535" t="s">
        <v>1098</v>
      </c>
      <c r="DS3" s="535" t="s">
        <v>69</v>
      </c>
      <c r="DT3" s="535" t="s">
        <v>71</v>
      </c>
      <c r="DU3" s="535" t="s">
        <v>72</v>
      </c>
      <c r="DV3" s="535" t="s">
        <v>74</v>
      </c>
      <c r="DW3" s="535" t="s">
        <v>1099</v>
      </c>
      <c r="DX3" s="535" t="s">
        <v>78</v>
      </c>
      <c r="DY3" s="535" t="s">
        <v>1100</v>
      </c>
      <c r="DZ3" s="535" t="s">
        <v>81</v>
      </c>
      <c r="EA3" s="535" t="s">
        <v>167</v>
      </c>
      <c r="EB3" s="536" t="s">
        <v>87</v>
      </c>
      <c r="ER3" s="536">
        <v>1.1000000000000001</v>
      </c>
      <c r="ES3" s="536">
        <v>1.2</v>
      </c>
      <c r="ET3" s="536">
        <v>1.3</v>
      </c>
      <c r="EU3" s="538" t="s">
        <v>1101</v>
      </c>
      <c r="EV3" s="536" t="s">
        <v>1102</v>
      </c>
    </row>
    <row r="4" spans="1:152" s="539" customFormat="1" ht="165">
      <c r="A4" s="539" t="str">
        <f t="array" ref="A4:F4">TRANSPOSE('Hlavní list'!B6:B11)</f>
        <v>Název projektu:</v>
      </c>
      <c r="B4" s="539" t="str">
        <v>Klient:</v>
      </c>
      <c r="C4" s="539" t="str">
        <v>IČ klienta:</v>
      </c>
      <c r="D4" s="539" t="str">
        <v>Adresa žadatele:</v>
      </c>
      <c r="E4" s="539" t="str">
        <v>Adresa místa realizace projektu:</v>
      </c>
      <c r="F4" s="539" t="str">
        <v>Popis projektu:</v>
      </c>
      <c r="G4" s="539" t="str">
        <f t="array" ref="G4:H4">TRANSPOSE('Hlavní list'!B14:B15)</f>
        <v>Součástí projektu je náhrada zařízení, které již nelze používat ze zákona.</v>
      </c>
      <c r="H4" s="539" t="str">
        <v>Způsob veřejné podpory</v>
      </c>
      <c r="I4" s="539" t="s">
        <v>1103</v>
      </c>
      <c r="J4" s="539" t="s">
        <v>1104</v>
      </c>
      <c r="K4" s="539" t="s">
        <v>1105</v>
      </c>
      <c r="L4" s="539" t="s">
        <v>1106</v>
      </c>
      <c r="M4" s="539" t="s">
        <v>1107</v>
      </c>
      <c r="N4" s="539" t="s">
        <v>1108</v>
      </c>
      <c r="O4" s="539" t="s">
        <v>1109</v>
      </c>
      <c r="P4" s="539" t="s">
        <v>1110</v>
      </c>
      <c r="Q4" s="539" t="s">
        <v>267</v>
      </c>
      <c r="R4" s="539" t="s">
        <v>1111</v>
      </c>
      <c r="S4" s="539" t="s">
        <v>270</v>
      </c>
      <c r="T4" s="539" t="s">
        <v>271</v>
      </c>
      <c r="U4" s="539" t="s">
        <v>1112</v>
      </c>
      <c r="V4" s="539" t="s">
        <v>1113</v>
      </c>
      <c r="W4" s="539" t="s">
        <v>275</v>
      </c>
      <c r="X4" s="539" t="s">
        <v>276</v>
      </c>
      <c r="Y4" s="539" t="s">
        <v>1114</v>
      </c>
      <c r="Z4" s="539" t="s">
        <v>278</v>
      </c>
      <c r="AA4" s="539" t="s">
        <v>147</v>
      </c>
      <c r="AB4" s="539" t="s">
        <v>149</v>
      </c>
      <c r="AC4" s="539" t="s">
        <v>1115</v>
      </c>
      <c r="AD4" s="539" t="s">
        <v>1116</v>
      </c>
      <c r="AE4" s="539" t="s">
        <v>1117</v>
      </c>
      <c r="AF4" s="539" t="s">
        <v>1118</v>
      </c>
      <c r="AG4" s="539" t="s">
        <v>1119</v>
      </c>
      <c r="AH4" s="539" t="s">
        <v>283</v>
      </c>
      <c r="AI4" s="539" t="s">
        <v>290</v>
      </c>
      <c r="AJ4" s="539" t="s">
        <v>294</v>
      </c>
      <c r="AK4" s="539" t="s">
        <v>1120</v>
      </c>
      <c r="AL4" s="539" t="s">
        <v>298</v>
      </c>
      <c r="AM4" s="539" t="s">
        <v>1121</v>
      </c>
      <c r="AN4" s="539" t="s">
        <v>300</v>
      </c>
      <c r="AO4" s="539" t="s">
        <v>302</v>
      </c>
      <c r="AP4" s="539" t="s">
        <v>304</v>
      </c>
      <c r="AQ4" s="539" t="s">
        <v>11</v>
      </c>
      <c r="AR4" s="539" t="s">
        <v>312</v>
      </c>
      <c r="AS4" s="539" t="s">
        <v>315</v>
      </c>
      <c r="AT4" s="539" t="s">
        <v>317</v>
      </c>
      <c r="AU4" s="539" t="s">
        <v>319</v>
      </c>
      <c r="AV4" s="539" t="s">
        <v>322</v>
      </c>
      <c r="AW4" s="539" t="s">
        <v>324</v>
      </c>
      <c r="AX4" s="539" t="s">
        <v>327</v>
      </c>
      <c r="AY4" s="539" t="s">
        <v>11</v>
      </c>
      <c r="AZ4" s="539" t="s">
        <v>312</v>
      </c>
      <c r="BA4" s="539" t="s">
        <v>315</v>
      </c>
      <c r="BB4" s="539" t="s">
        <v>317</v>
      </c>
      <c r="BC4" s="539" t="s">
        <v>319</v>
      </c>
      <c r="BD4" s="539" t="s">
        <v>322</v>
      </c>
      <c r="BE4" s="539" t="s">
        <v>324</v>
      </c>
      <c r="BF4" s="539" t="s">
        <v>327</v>
      </c>
      <c r="BG4" s="539" t="s">
        <v>11</v>
      </c>
      <c r="BH4" s="539" t="s">
        <v>312</v>
      </c>
      <c r="BI4" s="539" t="s">
        <v>315</v>
      </c>
      <c r="BJ4" s="539" t="s">
        <v>317</v>
      </c>
      <c r="BK4" s="539" t="s">
        <v>319</v>
      </c>
      <c r="BL4" s="539" t="s">
        <v>322</v>
      </c>
      <c r="BM4" s="539" t="s">
        <v>324</v>
      </c>
      <c r="BN4" s="539" t="s">
        <v>327</v>
      </c>
      <c r="BO4" s="539" t="s">
        <v>11</v>
      </c>
      <c r="BP4" s="539" t="s">
        <v>352</v>
      </c>
      <c r="BQ4" s="539" t="s">
        <v>355</v>
      </c>
      <c r="BR4" s="539" t="s">
        <v>1122</v>
      </c>
      <c r="BS4" s="539" t="s">
        <v>324</v>
      </c>
      <c r="BT4" s="539" t="s">
        <v>327</v>
      </c>
      <c r="BU4" s="539" t="s">
        <v>11</v>
      </c>
      <c r="BV4" s="539" t="s">
        <v>1123</v>
      </c>
      <c r="BW4" s="539" t="s">
        <v>1124</v>
      </c>
      <c r="BX4" s="539" t="s">
        <v>1125</v>
      </c>
      <c r="BY4" s="539" t="s">
        <v>324</v>
      </c>
      <c r="BZ4" s="539" t="s">
        <v>327</v>
      </c>
      <c r="CA4" s="539" t="s">
        <v>11</v>
      </c>
      <c r="CB4" s="539" t="s">
        <v>352</v>
      </c>
      <c r="CC4" s="539" t="s">
        <v>355</v>
      </c>
      <c r="CD4" s="539" t="s">
        <v>1122</v>
      </c>
      <c r="CE4" s="539" t="s">
        <v>324</v>
      </c>
      <c r="CF4" s="539" t="s">
        <v>327</v>
      </c>
      <c r="CG4" s="539" t="s">
        <v>11</v>
      </c>
      <c r="CH4" s="539" t="s">
        <v>1126</v>
      </c>
      <c r="CI4" s="539" t="s">
        <v>1127</v>
      </c>
      <c r="CJ4" s="539" t="s">
        <v>1128</v>
      </c>
      <c r="CK4" s="539" t="s">
        <v>142</v>
      </c>
      <c r="CL4" s="539" t="s">
        <v>1154</v>
      </c>
      <c r="CM4" s="539" t="s">
        <v>147</v>
      </c>
      <c r="CN4" s="539" t="s">
        <v>149</v>
      </c>
      <c r="CO4" s="539" t="s">
        <v>1129</v>
      </c>
      <c r="CP4" s="539" t="s">
        <v>1130</v>
      </c>
      <c r="CQ4" s="539" t="s">
        <v>153</v>
      </c>
      <c r="CR4" s="539" t="s">
        <v>1131</v>
      </c>
      <c r="CS4" s="539" t="s">
        <v>1132</v>
      </c>
      <c r="CT4" s="539" t="s">
        <v>1133</v>
      </c>
      <c r="CU4" s="539" t="s">
        <v>153</v>
      </c>
      <c r="CV4" s="539" t="s">
        <v>161</v>
      </c>
      <c r="CW4" s="539" t="s">
        <v>156</v>
      </c>
      <c r="CX4" s="539" t="s">
        <v>158</v>
      </c>
      <c r="CY4" s="539" t="s">
        <v>39</v>
      </c>
      <c r="CZ4" s="539" t="s">
        <v>41</v>
      </c>
      <c r="DA4" s="539" t="s">
        <v>43</v>
      </c>
      <c r="DB4" s="539" t="s">
        <v>45</v>
      </c>
      <c r="DC4" s="539" t="s">
        <v>47</v>
      </c>
      <c r="DD4" s="539" t="s">
        <v>49</v>
      </c>
      <c r="DE4" s="539" t="s">
        <v>41</v>
      </c>
      <c r="DF4" s="539" t="s">
        <v>52</v>
      </c>
      <c r="DG4" s="539" t="s">
        <v>45</v>
      </c>
      <c r="DH4" s="539" t="s">
        <v>54</v>
      </c>
      <c r="DI4" s="539" t="s">
        <v>1134</v>
      </c>
      <c r="DJ4" s="539" t="s">
        <v>41</v>
      </c>
      <c r="DK4" s="539" t="s">
        <v>59</v>
      </c>
      <c r="DL4" s="539" t="s">
        <v>45</v>
      </c>
      <c r="DM4" s="539" t="s">
        <v>61</v>
      </c>
      <c r="DN4" s="539" t="s">
        <v>1135</v>
      </c>
      <c r="DO4" s="539" t="s">
        <v>41</v>
      </c>
      <c r="DP4" s="539" t="s">
        <v>66</v>
      </c>
      <c r="DQ4" s="539" t="s">
        <v>45</v>
      </c>
      <c r="DR4" s="539" t="s">
        <v>68</v>
      </c>
      <c r="DS4" s="539" t="s">
        <v>1136</v>
      </c>
      <c r="DT4" s="539" t="s">
        <v>41</v>
      </c>
      <c r="DU4" s="539" t="s">
        <v>73</v>
      </c>
      <c r="DV4" s="539" t="s">
        <v>45</v>
      </c>
      <c r="DW4" s="539" t="s">
        <v>75</v>
      </c>
      <c r="DX4" s="539" t="s">
        <v>79</v>
      </c>
      <c r="DY4" s="539" t="s">
        <v>1137</v>
      </c>
      <c r="DZ4" s="539" t="s">
        <v>82</v>
      </c>
      <c r="EA4" s="539" t="s">
        <v>1138</v>
      </c>
      <c r="EB4" s="539" t="s">
        <v>88</v>
      </c>
      <c r="EC4" s="539" t="s">
        <v>1139</v>
      </c>
      <c r="ED4" s="539" t="s">
        <v>1140</v>
      </c>
      <c r="EE4" s="539" t="s">
        <v>1141</v>
      </c>
      <c r="EF4" s="539" t="s">
        <v>1142</v>
      </c>
      <c r="EG4" s="539" t="s">
        <v>1143</v>
      </c>
      <c r="EH4" s="539" t="s">
        <v>1144</v>
      </c>
      <c r="EI4" s="539" t="s">
        <v>1145</v>
      </c>
      <c r="EJ4" s="539" t="s">
        <v>1146</v>
      </c>
      <c r="EK4" s="539" t="s">
        <v>1147</v>
      </c>
      <c r="EL4" s="539" t="s">
        <v>1148</v>
      </c>
      <c r="EM4" s="539" t="s">
        <v>1149</v>
      </c>
      <c r="EN4" s="539" t="s">
        <v>1150</v>
      </c>
      <c r="EO4" s="539" t="s">
        <v>1151</v>
      </c>
      <c r="EP4" s="539" t="s">
        <v>1152</v>
      </c>
      <c r="EQ4" s="539" t="s">
        <v>1153</v>
      </c>
      <c r="ER4" s="539" t="str">
        <f>FVE!C4</f>
        <v>Jaký je jmenovitý instalovaný výkon FVE ?</v>
      </c>
      <c r="ES4" s="539" t="str">
        <f>FVE!C5</f>
        <v>Jaká je předpokládaná roční výroba elektrické energie z FVE ?</v>
      </c>
      <c r="ET4" s="539" t="str">
        <f>FVE!C6</f>
        <v>Je součástí projektu instalace FVE také akumulace elektrické energie do baterie?</v>
      </c>
      <c r="EU4" s="539" t="str">
        <f>FVE!C7</f>
        <v>Jaká je jmenovitá kapacita instalované baterie ?</v>
      </c>
      <c r="EV4" s="539" t="str">
        <f>FVE!C8</f>
        <v>Jaká je celková roční spotřeba elektrické energie v budově / budovách, pro které se FVE instaluje ?</v>
      </c>
    </row>
    <row r="5" spans="1:152">
      <c r="A5">
        <f t="array" ref="A5:F5">TRANSPOSE('Hlavní list'!C6:C11)</f>
        <v>0</v>
      </c>
      <c r="B5">
        <v>0</v>
      </c>
      <c r="C5" s="168">
        <v>0</v>
      </c>
      <c r="D5" s="540">
        <v>0</v>
      </c>
      <c r="E5" s="540">
        <v>0</v>
      </c>
      <c r="F5">
        <v>0</v>
      </c>
      <c r="G5" s="541">
        <f t="array" ref="G5:H5">TRANSPOSE('Hlavní list'!D14:D15)</f>
        <v>0</v>
      </c>
      <c r="H5" s="541">
        <v>0</v>
      </c>
      <c r="I5" s="541">
        <f>'Hlavní list'!D25</f>
        <v>0</v>
      </c>
      <c r="J5" s="543">
        <f>'Hlavní list'!D26</f>
        <v>0</v>
      </c>
      <c r="K5" s="543">
        <f>'Hlavní list'!D27</f>
        <v>0</v>
      </c>
      <c r="L5" s="543">
        <f>'Hlavní list'!D29</f>
        <v>0</v>
      </c>
      <c r="M5" s="540">
        <f>Parametry!B113</f>
        <v>0</v>
      </c>
      <c r="N5" s="540">
        <f>Parametry!B114</f>
        <v>0</v>
      </c>
      <c r="O5" s="540">
        <f>Parametry!B115</f>
        <v>0</v>
      </c>
      <c r="P5" s="540">
        <f>Parametry!B116</f>
        <v>0</v>
      </c>
      <c r="Q5">
        <f>IF(Parametry!B140=1,Parametry!A123,Parametry!A124)</f>
        <v>0</v>
      </c>
      <c r="R5">
        <f>Zateplení!F6</f>
        <v>0</v>
      </c>
      <c r="S5">
        <f>Zateplení!F7</f>
        <v>0</v>
      </c>
      <c r="T5">
        <f>Zateplení!F8</f>
        <v>0</v>
      </c>
      <c r="U5" s="168">
        <f>Zateplení!F9</f>
        <v>0</v>
      </c>
      <c r="V5" s="168">
        <f>Zateplení!F10</f>
        <v>0</v>
      </c>
      <c r="W5">
        <f>Zateplení!F11</f>
        <v>0</v>
      </c>
      <c r="X5">
        <f>Zateplení!F12</f>
        <v>0</v>
      </c>
      <c r="Y5">
        <f>Zateplení!F13</f>
        <v>0</v>
      </c>
      <c r="Z5">
        <f>Zateplení!F14</f>
        <v>0</v>
      </c>
      <c r="AA5">
        <f>Zateplení!F15</f>
        <v>0</v>
      </c>
      <c r="AB5">
        <f>Zateplení!F16</f>
        <v>0</v>
      </c>
      <c r="AC5" s="542">
        <f>Zateplení!F19</f>
        <v>0</v>
      </c>
      <c r="AD5" s="168">
        <f>Zateplení!F20</f>
        <v>0</v>
      </c>
      <c r="AE5" s="168">
        <f>Zateplení!F21</f>
        <v>0</v>
      </c>
      <c r="AF5" s="168">
        <f>Zateplení!F22</f>
        <v>0</v>
      </c>
      <c r="AG5" s="168" t="e">
        <f>Zateplení!#REF!</f>
        <v>#REF!</v>
      </c>
      <c r="AH5">
        <f>Zateplení!F23</f>
        <v>0</v>
      </c>
      <c r="AI5">
        <f>Zateplení!F29</f>
        <v>0</v>
      </c>
      <c r="AJ5" s="168" t="e">
        <f>Zateplení!#REF!</f>
        <v>#REF!</v>
      </c>
      <c r="AK5">
        <f>Zateplení!F31</f>
        <v>0</v>
      </c>
      <c r="AL5">
        <f>Zateplení!F32</f>
        <v>0</v>
      </c>
      <c r="AM5" s="168" t="e">
        <f>Zateplení!#REF!</f>
        <v>#REF!</v>
      </c>
      <c r="AN5">
        <f>Zateplení!F34</f>
        <v>0</v>
      </c>
      <c r="AO5" s="168" t="e">
        <f>Zateplení!#REF!</f>
        <v>#REF!</v>
      </c>
      <c r="AP5">
        <f>Zateplení!F36</f>
        <v>0</v>
      </c>
      <c r="AQ5" s="168" t="e">
        <f>Zateplení!#REF!</f>
        <v>#REF!</v>
      </c>
      <c r="AR5">
        <f>Zateplení!F40</f>
        <v>0</v>
      </c>
      <c r="AS5" s="542">
        <f>Zateplení!F41</f>
        <v>0</v>
      </c>
      <c r="AT5" s="168">
        <f>Zateplení!F42</f>
        <v>0</v>
      </c>
      <c r="AU5">
        <f>Zateplení!F43</f>
        <v>0</v>
      </c>
      <c r="AV5">
        <f>Zateplení!F44</f>
        <v>0</v>
      </c>
      <c r="AW5">
        <f>Zateplení!F45</f>
        <v>0</v>
      </c>
      <c r="AX5">
        <f>Zateplení!F54</f>
        <v>0</v>
      </c>
      <c r="AY5" t="str">
        <f>Zateplení!F47</f>
        <v/>
      </c>
      <c r="AZ5" t="str">
        <f>Zateplení!F48</f>
        <v/>
      </c>
      <c r="BA5" t="str">
        <f>Zateplení!F49</f>
        <v>Zateplení obvodových stěn splňuje požadavky programu.</v>
      </c>
      <c r="BB5" s="168">
        <f>Zateplení!F50</f>
        <v>0</v>
      </c>
      <c r="BC5">
        <f>Zateplení!F51</f>
        <v>0</v>
      </c>
      <c r="BD5">
        <f>Zateplení!F52</f>
        <v>0</v>
      </c>
      <c r="BE5">
        <f>Zateplení!F53</f>
        <v>0</v>
      </c>
      <c r="BF5">
        <f>Zateplení!F54</f>
        <v>0</v>
      </c>
      <c r="BG5" t="str">
        <f>Zateplení!F55</f>
        <v/>
      </c>
      <c r="BH5" t="str">
        <f>Zateplení!F56</f>
        <v/>
      </c>
      <c r="BI5" t="str">
        <f>Zateplení!F57</f>
        <v>Zateplení střechy splňuje požadavky programu.</v>
      </c>
      <c r="BJ5" s="168">
        <f>Zateplení!F58</f>
        <v>0</v>
      </c>
      <c r="BK5">
        <f>Zateplení!F59</f>
        <v>0</v>
      </c>
      <c r="BL5">
        <f>Zateplení!F60</f>
        <v>0</v>
      </c>
      <c r="BM5">
        <f>Zateplení!F61</f>
        <v>0</v>
      </c>
      <c r="BN5">
        <f>Zateplení!F62</f>
        <v>0</v>
      </c>
      <c r="BO5" t="str">
        <f>Zateplení!F63</f>
        <v/>
      </c>
      <c r="BP5" t="str">
        <f>Zateplení!F64</f>
        <v/>
      </c>
      <c r="BQ5" s="168" t="str">
        <f>Zateplení!F65</f>
        <v>Zateplení podlahy splňuje požadavky programu.</v>
      </c>
      <c r="BR5">
        <f>Zateplení!F66</f>
        <v>0</v>
      </c>
      <c r="BS5" s="540">
        <f>Zateplení!F67</f>
        <v>0</v>
      </c>
      <c r="BT5">
        <f>Zateplení!F68</f>
        <v>0</v>
      </c>
      <c r="BU5">
        <f>Zateplení!F69</f>
        <v>0</v>
      </c>
      <c r="BV5" s="540" t="str">
        <f>Zateplení!F70</f>
        <v/>
      </c>
      <c r="BW5" s="168" t="str">
        <f ca="1">Zateplení!F71</f>
        <v>Okna splňují požadavky programu.</v>
      </c>
      <c r="BX5">
        <f>Zateplení!F72</f>
        <v>0</v>
      </c>
      <c r="BY5" s="540">
        <f>Zateplení!F73</f>
        <v>0</v>
      </c>
      <c r="BZ5">
        <f>Zateplení!F74</f>
        <v>0</v>
      </c>
      <c r="CA5">
        <f>Zateplení!F75</f>
        <v>0</v>
      </c>
      <c r="CB5" s="540" t="str">
        <f>Zateplení!F76</f>
        <v/>
      </c>
      <c r="CC5" s="168" t="str">
        <f ca="1">Zateplení!F77</f>
        <v>Dveře/vrata splňují požadavky programu.</v>
      </c>
      <c r="CD5">
        <f>Zateplení!F78</f>
        <v>0</v>
      </c>
      <c r="CE5" s="540">
        <f>Zateplení!F79</f>
        <v>0</v>
      </c>
      <c r="CF5">
        <f>Zateplení!F80</f>
        <v>0</v>
      </c>
      <c r="CG5">
        <f>Zateplení!F81</f>
        <v>0</v>
      </c>
      <c r="CH5" s="167" t="str">
        <f>Zateplení!F82</f>
        <v/>
      </c>
      <c r="CI5" s="168" t="str">
        <f ca="1">Zateplení!F83</f>
        <v>Světlíky/střešní okna splňují požadavky programu.</v>
      </c>
      <c r="CJ5" s="168" t="str">
        <f>Zateplení!G82</f>
        <v>Hodnota je nastavená dle specifických podmínek programu a vámi zvoleného typu budovy a dalších kritérií</v>
      </c>
      <c r="CK5">
        <f>Zdroj!E4</f>
        <v>0</v>
      </c>
      <c r="CL5">
        <f>Zdroj!E5</f>
        <v>0</v>
      </c>
      <c r="CM5">
        <f>Zdroj!E6</f>
        <v>0</v>
      </c>
      <c r="CN5">
        <f>Zdroj!E7</f>
        <v>0</v>
      </c>
      <c r="CO5" s="168">
        <f>Zdroj!E8</f>
        <v>0</v>
      </c>
      <c r="CP5">
        <f>Zdroj!E9</f>
        <v>0</v>
      </c>
      <c r="CQ5" s="167">
        <f>Parametry!G79</f>
        <v>0</v>
      </c>
      <c r="CR5">
        <f>Zdroj!E13</f>
        <v>0</v>
      </c>
      <c r="CS5">
        <f>Zdroj!E16</f>
        <v>0</v>
      </c>
      <c r="CT5">
        <f>Zdroj!E17</f>
        <v>0</v>
      </c>
      <c r="CU5" s="167">
        <f>Parametry!G80</f>
        <v>0</v>
      </c>
      <c r="CV5" s="168">
        <f>Zdroj!E19</f>
        <v>0</v>
      </c>
      <c r="CW5" s="167">
        <f>Zdroj!E20</f>
        <v>0</v>
      </c>
      <c r="CX5">
        <f>Zdroj!E21</f>
        <v>0</v>
      </c>
      <c r="CY5">
        <f>Osvětlení!E4</f>
        <v>0</v>
      </c>
      <c r="CZ5" s="168">
        <f>Osvětlení!E5</f>
        <v>0</v>
      </c>
      <c r="DA5">
        <f>Osvětlení!E6</f>
        <v>0</v>
      </c>
      <c r="DB5" s="168">
        <f>Osvětlení!E7</f>
        <v>0</v>
      </c>
      <c r="DC5" s="168">
        <f>Osvětlení!E8</f>
        <v>0</v>
      </c>
      <c r="DD5">
        <f>Osvětlení!E10</f>
        <v>0</v>
      </c>
      <c r="DE5" s="168">
        <f>Osvětlení!E11</f>
        <v>0</v>
      </c>
      <c r="DF5">
        <f>Osvětlení!E12</f>
        <v>0</v>
      </c>
      <c r="DG5" s="168">
        <f>Osvětlení!E13</f>
        <v>0</v>
      </c>
      <c r="DH5">
        <f>Osvětlení!E14</f>
        <v>0</v>
      </c>
      <c r="DI5">
        <f>Osvětlení!E16</f>
        <v>0</v>
      </c>
      <c r="DJ5" s="168">
        <f>Osvětlení!E17</f>
        <v>0</v>
      </c>
      <c r="DK5">
        <f>Osvětlení!E18</f>
        <v>0</v>
      </c>
      <c r="DL5" s="168">
        <f>Osvětlení!E19</f>
        <v>0</v>
      </c>
      <c r="DM5">
        <f>Osvětlení!E20</f>
        <v>0</v>
      </c>
      <c r="DN5">
        <f>Osvětlení!E22</f>
        <v>0</v>
      </c>
      <c r="DO5" s="168">
        <f>Osvětlení!E23</f>
        <v>0</v>
      </c>
      <c r="DP5">
        <f>Osvětlení!E24</f>
        <v>0</v>
      </c>
      <c r="DQ5" s="168">
        <f>Osvětlení!E25</f>
        <v>0</v>
      </c>
      <c r="DR5">
        <f>Osvětlení!E26</f>
        <v>0</v>
      </c>
      <c r="DS5">
        <f>Osvětlení!E28</f>
        <v>0</v>
      </c>
      <c r="DT5" s="168">
        <f>Osvětlení!E29</f>
        <v>0</v>
      </c>
      <c r="DU5">
        <f>Osvětlení!E30</f>
        <v>0</v>
      </c>
      <c r="DV5" s="168">
        <f>Osvětlení!E31</f>
        <v>0</v>
      </c>
      <c r="DW5">
        <f>Osvětlení!E32</f>
        <v>0</v>
      </c>
      <c r="DX5">
        <f>Osvětlení!E35</f>
        <v>0</v>
      </c>
      <c r="DY5" s="168">
        <f>Osvětlení!E36</f>
        <v>0</v>
      </c>
      <c r="DZ5">
        <f>Osvětlení!E37</f>
        <v>0</v>
      </c>
      <c r="EA5">
        <f>Osvětlení!E38</f>
        <v>0</v>
      </c>
      <c r="EB5">
        <f>Osvětlení!E40</f>
        <v>0</v>
      </c>
      <c r="EC5" s="168">
        <f>'Hlavní list'!C43</f>
        <v>0</v>
      </c>
      <c r="ED5" s="168" t="str">
        <f>'Hlavní list'!C44</f>
        <v>Celkem / Total</v>
      </c>
      <c r="EE5" s="168" t="str">
        <f>'Hlavní list'!C45</f>
        <v>kWh</v>
      </c>
      <c r="EF5" s="167">
        <f ca="1">'Hlavní list'!C54</f>
        <v>0</v>
      </c>
      <c r="EG5" s="168">
        <f ca="1">'Hlavní list'!C56</f>
        <v>0</v>
      </c>
      <c r="EH5" s="167">
        <f ca="1">'Hlavní list'!C57</f>
        <v>0</v>
      </c>
      <c r="EI5" s="168">
        <f ca="1">'Hlavní list'!C62</f>
        <v>0</v>
      </c>
      <c r="EJ5" s="168"/>
      <c r="EK5" s="168"/>
      <c r="EL5" s="168"/>
      <c r="EM5" s="168"/>
      <c r="EN5" s="168"/>
      <c r="EO5" s="168"/>
      <c r="EP5" s="168"/>
      <c r="EQ5" s="168"/>
      <c r="ER5">
        <f>FVE!E4</f>
        <v>0</v>
      </c>
      <c r="ES5" s="168">
        <f>FVE!E5</f>
        <v>0</v>
      </c>
      <c r="ET5" s="167">
        <f>FVE!E6</f>
        <v>0</v>
      </c>
      <c r="EU5">
        <f>FVE!E7</f>
        <v>0</v>
      </c>
      <c r="EV5" s="168">
        <f>FVE!E8</f>
        <v>0</v>
      </c>
    </row>
    <row r="20" customFormat="1" hidden="1"/>
    <row r="21" customFormat="1" hidden="1"/>
    <row r="22" customFormat="1" hidden="1"/>
    <row r="23" customFormat="1" hidden="1"/>
    <row r="24" customFormat="1" hidden="1"/>
    <row r="25" customFormat="1" hidden="1"/>
  </sheetData>
  <sheetProtection algorithmName="SHA-512" hashValue="NRccIWLO8FI79yZ2HvyoLeDGlK0wpwE3X5JgKDfGElou1SDpLIImPyTAu42l01M/5yw+HHaJoRSzWBM5/h4fsA==" saltValue="2Dm61VHUYDtfDjs1A+lcjg==" spinCount="100000" sheet="1" objects="1" scenarios="1"/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2C7D03-4B7F-4EBB-A10D-95F9B4B2F956}">
  <sheetPr codeName="List25"/>
  <dimension ref="A1:E216"/>
  <sheetViews>
    <sheetView workbookViewId="0"/>
  </sheetViews>
  <sheetFormatPr defaultRowHeight="15"/>
  <cols>
    <col min="1" max="1" width="28.5703125" bestFit="1" customWidth="1"/>
    <col min="2" max="2" width="12.28515625" bestFit="1" customWidth="1"/>
    <col min="3" max="3" width="20" customWidth="1"/>
    <col min="5" max="5" width="101.5703125" style="403" bestFit="1" customWidth="1"/>
  </cols>
  <sheetData>
    <row r="1" spans="1:5">
      <c r="A1" s="82" t="s">
        <v>1069</v>
      </c>
      <c r="B1" s="82" t="str">
        <f>Verze</f>
        <v>Verze - 14.01</v>
      </c>
    </row>
    <row r="3" spans="1:5">
      <c r="A3" s="82" t="s">
        <v>1063</v>
      </c>
      <c r="B3" s="82" t="s">
        <v>1067</v>
      </c>
      <c r="C3" s="82" t="s">
        <v>1064</v>
      </c>
      <c r="D3" s="82" t="s">
        <v>1065</v>
      </c>
      <c r="E3" s="533" t="s">
        <v>30</v>
      </c>
    </row>
    <row r="4" spans="1:5">
      <c r="A4" t="str" cm="1">
        <f t="array" aca="1" ref="A4" ca="1">CELL("odkaz",'Hlavní list'!C6)</f>
        <v>'[12 - Kalkulačka_2024_09_30.xlsm]Hlavní list'!$C$6</v>
      </c>
      <c r="C4" t="str">
        <f ca="1">MID(SUBSTITUTE(A4,"'",""),FIND("]",SUBSTITUTE(A4,"'",""))+1,FIND("!",SUBSTITUTE(A4,"'",""))-FIND("]",SUBSTITUTE(A4,"'",""))-1)</f>
        <v>Hlavní list</v>
      </c>
      <c r="D4" t="str">
        <f ca="1">MID(A4,SEARCH("$",A4),20)</f>
        <v>$C$6</v>
      </c>
      <c r="E4" s="403" t="s">
        <v>1201</v>
      </c>
    </row>
    <row r="5" spans="1:5">
      <c r="A5" t="str" cm="1">
        <f t="array" aca="1" ref="A5" ca="1">CELL("odkaz",'Hlavní list'!C7)</f>
        <v>'[12 - Kalkulačka_2024_09_30.xlsm]Hlavní list'!$C$7</v>
      </c>
      <c r="C5" t="str">
        <f t="shared" ref="C5:C69" ca="1" si="0">MID(SUBSTITUTE(A5,"'",""),FIND("]",SUBSTITUTE(A5,"'",""))+1,FIND("!",SUBSTITUTE(A5,"'",""))-FIND("]",SUBSTITUTE(A5,"'",""))-1)</f>
        <v>Hlavní list</v>
      </c>
      <c r="D5" t="str">
        <f t="shared" ref="D5:D69" ca="1" si="1">MID(A5,SEARCH("$",A5),20)</f>
        <v>$C$7</v>
      </c>
      <c r="E5" s="403" t="s">
        <v>1202</v>
      </c>
    </row>
    <row r="6" spans="1:5">
      <c r="A6" t="str" cm="1">
        <f t="array" aca="1" ref="A6" ca="1">CELL("odkaz",'Hlavní list'!C8)</f>
        <v>'[12 - Kalkulačka_2024_09_30.xlsm]Hlavní list'!$C$8</v>
      </c>
      <c r="C6" t="str">
        <f t="shared" ca="1" si="0"/>
        <v>Hlavní list</v>
      </c>
      <c r="D6" t="str">
        <f t="shared" ca="1" si="1"/>
        <v>$C$8</v>
      </c>
      <c r="E6" s="403" t="s">
        <v>1203</v>
      </c>
    </row>
    <row r="7" spans="1:5">
      <c r="A7" t="str" cm="1">
        <f t="array" aca="1" ref="A7" ca="1">CELL("odkaz",'Hlavní list'!C9)</f>
        <v>'[12 - Kalkulačka_2024_09_30.xlsm]Hlavní list'!$C$9</v>
      </c>
      <c r="C7" t="str">
        <f t="shared" ca="1" si="0"/>
        <v>Hlavní list</v>
      </c>
      <c r="D7" t="str">
        <f t="shared" ca="1" si="1"/>
        <v>$C$9</v>
      </c>
      <c r="E7" s="403" t="s">
        <v>84</v>
      </c>
    </row>
    <row r="8" spans="1:5">
      <c r="A8" t="str" cm="1">
        <f t="array" aca="1" ref="A8" ca="1">CELL("odkaz",'Hlavní list'!C10)</f>
        <v>'[12 - Kalkulačka_2024_09_30.xlsm]Hlavní list'!$C$10</v>
      </c>
      <c r="C8" t="str">
        <f t="shared" ca="1" si="0"/>
        <v>Hlavní list</v>
      </c>
      <c r="D8" t="str">
        <f t="shared" ca="1" si="1"/>
        <v>$C$10</v>
      </c>
      <c r="E8" s="403" t="s">
        <v>1204</v>
      </c>
    </row>
    <row r="9" spans="1:5">
      <c r="A9" t="str" cm="1">
        <f t="array" aca="1" ref="A9" ca="1">CELL("odkaz",'Hlavní list'!C11)</f>
        <v>'[12 - Kalkulačka_2024_09_30.xlsm]Hlavní list'!$C$11</v>
      </c>
      <c r="C9" t="str">
        <f t="shared" ca="1" si="0"/>
        <v>Hlavní list</v>
      </c>
      <c r="D9" t="str">
        <f t="shared" ca="1" si="1"/>
        <v>$C$11</v>
      </c>
      <c r="E9" s="403" t="s">
        <v>1205</v>
      </c>
    </row>
    <row r="10" spans="1:5">
      <c r="A10" t="str" cm="1">
        <f t="array" aca="1" ref="A10" ca="1">CELL("odkaz",'Hlavní list'!D14)</f>
        <v>'[12 - Kalkulačka_2024_09_30.xlsm]Hlavní list'!$D$14</v>
      </c>
      <c r="C10" t="str">
        <f t="shared" ca="1" si="0"/>
        <v>Hlavní list</v>
      </c>
      <c r="D10" t="str">
        <f t="shared" ca="1" si="1"/>
        <v>$D$14</v>
      </c>
      <c r="E10" s="403" t="s">
        <v>260</v>
      </c>
    </row>
    <row r="11" spans="1:5">
      <c r="A11" t="str" cm="1">
        <f t="array" aca="1" ref="A11" ca="1">CELL("odkaz",'Hlavní list'!D15)</f>
        <v>'[12 - Kalkulačka_2024_09_30.xlsm]Hlavní list'!$D$15</v>
      </c>
      <c r="C11" t="str">
        <f t="shared" ca="1" si="0"/>
        <v>Hlavní list</v>
      </c>
      <c r="D11" t="str">
        <f t="shared" ca="1" si="1"/>
        <v>$D$15</v>
      </c>
      <c r="E11" s="403" t="s">
        <v>398</v>
      </c>
    </row>
    <row r="12" spans="1:5">
      <c r="A12" t="str" cm="1">
        <f t="array" aca="1" ref="A12" ca="1">CELL("odkaz",Listy!B2)</f>
        <v>'[12 - Kalkulačka_2024_09_30.xlsm]Listy'!$B$2</v>
      </c>
      <c r="B12" t="b">
        <v>1</v>
      </c>
      <c r="C12" t="str">
        <f t="shared" ca="1" si="0"/>
        <v>Listy</v>
      </c>
      <c r="D12" t="str">
        <f t="shared" ca="1" si="1"/>
        <v>$B$2</v>
      </c>
      <c r="E12" s="403" t="b">
        <v>1</v>
      </c>
    </row>
    <row r="13" spans="1:5">
      <c r="A13" t="str" cm="1">
        <f t="array" aca="1" ref="A13" ca="1">CELL("odkaz",Listy!B3)</f>
        <v>'[12 - Kalkulačka_2024_09_30.xlsm]Listy'!$B$3</v>
      </c>
      <c r="B13" t="b">
        <v>0</v>
      </c>
      <c r="C13" t="str">
        <f t="shared" ca="1" si="0"/>
        <v>Listy</v>
      </c>
      <c r="D13" t="str">
        <f t="shared" ca="1" si="1"/>
        <v>$B$3</v>
      </c>
      <c r="E13" s="403" t="b">
        <v>1</v>
      </c>
    </row>
    <row r="14" spans="1:5">
      <c r="A14" t="str" cm="1">
        <f t="array" aca="1" ref="A14" ca="1">CELL("odkaz",Listy!B4)</f>
        <v>'[12 - Kalkulačka_2024_09_30.xlsm]Listy'!$B$4</v>
      </c>
      <c r="B14" t="b">
        <v>0</v>
      </c>
      <c r="C14" t="str">
        <f t="shared" ca="1" si="0"/>
        <v>Listy</v>
      </c>
      <c r="D14" t="str">
        <f t="shared" ca="1" si="1"/>
        <v>$B$4</v>
      </c>
      <c r="E14" s="403" t="b">
        <v>1</v>
      </c>
    </row>
    <row r="15" spans="1:5">
      <c r="A15" t="str" cm="1">
        <f t="array" aca="1" ref="A15" ca="1">CELL("odkaz",Listy!B5)</f>
        <v>'[12 - Kalkulačka_2024_09_30.xlsm]Listy'!$B$5</v>
      </c>
      <c r="B15" t="b">
        <v>0</v>
      </c>
      <c r="C15" t="str">
        <f t="shared" ca="1" si="0"/>
        <v>Listy</v>
      </c>
      <c r="D15" t="str">
        <f t="shared" ca="1" si="1"/>
        <v>$B$5</v>
      </c>
      <c r="E15" s="403" t="b">
        <v>1</v>
      </c>
    </row>
    <row r="16" spans="1:5">
      <c r="A16" t="str" cm="1">
        <f t="array" aca="1" ref="A16" ca="1">CELL("odkaz",Listy!B6)</f>
        <v>'[12 - Kalkulačka_2024_09_30.xlsm]Listy'!$B$6</v>
      </c>
      <c r="B16" t="b">
        <v>0</v>
      </c>
      <c r="C16" t="str">
        <f t="shared" ca="1" si="0"/>
        <v>Listy</v>
      </c>
      <c r="D16" t="str">
        <f t="shared" ca="1" si="1"/>
        <v>$B$6</v>
      </c>
      <c r="E16" s="403" t="b">
        <v>1</v>
      </c>
    </row>
    <row r="17" spans="1:5">
      <c r="A17" t="str" cm="1">
        <f t="array" aca="1" ref="A17" ca="1">CELL("odkaz",Listy!B7)</f>
        <v>'[12 - Kalkulačka_2024_09_30.xlsm]Listy'!$B$7</v>
      </c>
      <c r="B17" t="b">
        <v>0</v>
      </c>
      <c r="C17" t="str">
        <f t="shared" ca="1" si="0"/>
        <v>Listy</v>
      </c>
      <c r="D17" t="str">
        <f t="shared" ca="1" si="1"/>
        <v>$B$7</v>
      </c>
      <c r="E17" s="403" t="b">
        <v>0</v>
      </c>
    </row>
    <row r="18" spans="1:5">
      <c r="A18" t="str" cm="1">
        <f t="array" aca="1" ref="A18" ca="1">CELL("odkaz",Listy!B8)</f>
        <v>'[12 - Kalkulačka_2024_09_30.xlsm]Listy'!$B$8</v>
      </c>
      <c r="B18" t="b">
        <v>0</v>
      </c>
      <c r="C18" t="str">
        <f t="shared" ref="C18" ca="1" si="2">MID(SUBSTITUTE(A18,"'",""),FIND("]",SUBSTITUTE(A18,"'",""))+1,FIND("!",SUBSTITUTE(A18,"'",""))-FIND("]",SUBSTITUTE(A18,"'",""))-1)</f>
        <v>Listy</v>
      </c>
      <c r="D18" t="str">
        <f t="shared" ref="D18" ca="1" si="3">MID(A18,SEARCH("$",A18),20)</f>
        <v>$B$8</v>
      </c>
      <c r="E18" s="403" t="b">
        <v>0</v>
      </c>
    </row>
    <row r="19" spans="1:5">
      <c r="A19" t="str" cm="1">
        <f t="array" aca="1" ref="A19" ca="1">CELL("odkaz",'Hlavní list'!D26)</f>
        <v>'[12 - Kalkulačka_2024_09_30.xlsm]Hlavní list'!$D$26</v>
      </c>
      <c r="C19" t="str">
        <f t="shared" ca="1" si="0"/>
        <v>Hlavní list</v>
      </c>
      <c r="D19" t="str">
        <f t="shared" ca="1" si="1"/>
        <v>$D$26</v>
      </c>
      <c r="E19" s="548">
        <v>1000000</v>
      </c>
    </row>
    <row r="20" spans="1:5">
      <c r="A20" t="str" cm="1">
        <f t="array" aca="1" ref="A20" ca="1">CELL("odkaz",'Hlavní list'!D27)</f>
        <v>'[12 - Kalkulačka_2024_09_30.xlsm]Hlavní list'!$D$27</v>
      </c>
      <c r="C20" t="str">
        <f t="shared" ca="1" si="0"/>
        <v>Hlavní list</v>
      </c>
      <c r="D20" t="str">
        <f t="shared" ca="1" si="1"/>
        <v>$D$27</v>
      </c>
      <c r="E20" s="548">
        <v>1000000</v>
      </c>
    </row>
    <row r="21" spans="1:5">
      <c r="A21" t="str" cm="1">
        <f t="array" aca="1" ref="A21" ca="1">CELL("odkaz",'Hlavní list'!D28)</f>
        <v>'[12 - Kalkulačka_2024_09_30.xlsm]Hlavní list'!$D$28</v>
      </c>
      <c r="C21" t="str">
        <f t="shared" ca="1" si="0"/>
        <v>Hlavní list</v>
      </c>
      <c r="D21" t="str">
        <f t="shared" ca="1" si="1"/>
        <v>$D$28</v>
      </c>
      <c r="E21" s="548">
        <v>1000000</v>
      </c>
    </row>
    <row r="22" spans="1:5">
      <c r="A22" t="str" cm="1">
        <f t="array" aca="1" ref="A22" ca="1">CELL("odkaz",'Hlavní list'!D29)</f>
        <v>'[12 - Kalkulačka_2024_09_30.xlsm]Hlavní list'!$D$29</v>
      </c>
      <c r="C22" t="str">
        <f t="shared" ca="1" si="0"/>
        <v>Hlavní list</v>
      </c>
      <c r="D22" t="str">
        <f t="shared" ca="1" si="1"/>
        <v>$D$29</v>
      </c>
      <c r="E22" s="548">
        <v>500000</v>
      </c>
    </row>
    <row r="23" spans="1:5">
      <c r="A23" t="str" cm="1">
        <f t="array" aca="1" ref="A23" ca="1">CELL("odkaz",'Hlavní list'!D30)</f>
        <v>'[12 - Kalkulačka_2024_09_30.xlsm]Hlavní list'!$D$30</v>
      </c>
      <c r="C23" t="str">
        <f t="shared" ca="1" si="0"/>
        <v>Hlavní list</v>
      </c>
      <c r="D23" t="str">
        <f t="shared" ca="1" si="1"/>
        <v>$D$30</v>
      </c>
      <c r="E23" s="548">
        <v>1000000</v>
      </c>
    </row>
    <row r="24" spans="1:5">
      <c r="A24" t="str" cm="1">
        <f t="array" aca="1" ref="A24" ca="1">CELL("odkaz",Zateplení!F4)</f>
        <v>'[12 - Kalkulačka_2024_09_30.xlsm]Zateplení'!$F$4</v>
      </c>
      <c r="C24" t="str">
        <f t="shared" ca="1" si="0"/>
        <v>Zateplení</v>
      </c>
      <c r="D24" t="str">
        <f t="shared" ca="1" si="1"/>
        <v>$F$4</v>
      </c>
      <c r="E24" s="403" t="s">
        <v>454</v>
      </c>
    </row>
    <row r="25" spans="1:5">
      <c r="A25" t="str" cm="1">
        <f t="array" aca="1" ref="A25" ca="1">CELL("odkaz",Zateplení!F5)</f>
        <v>'[12 - Kalkulačka_2024_09_30.xlsm]Zateplení'!$F$5</v>
      </c>
      <c r="C25" t="str">
        <f t="shared" ref="C25" ca="1" si="4">MID(SUBSTITUTE(A25,"'",""),FIND("]",SUBSTITUTE(A25,"'",""))+1,FIND("!",SUBSTITUTE(A25,"'",""))-FIND("]",SUBSTITUTE(A25,"'",""))-1)</f>
        <v>Zateplení</v>
      </c>
      <c r="D25" t="str">
        <f t="shared" ref="D25" ca="1" si="5">MID(A25,SEARCH("$",A25),20)</f>
        <v>$F$5</v>
      </c>
    </row>
    <row r="26" spans="1:5">
      <c r="A26" t="str" cm="1">
        <f t="array" aca="1" ref="A26" ca="1">CELL("odkaz",Zateplení!F6)</f>
        <v>'[12 - Kalkulačka_2024_09_30.xlsm]Zateplení'!$F$6</v>
      </c>
      <c r="C26" t="str">
        <f t="shared" ca="1" si="0"/>
        <v>Zateplení</v>
      </c>
      <c r="D26" t="str">
        <f t="shared" ca="1" si="1"/>
        <v>$F$6</v>
      </c>
      <c r="E26" s="403" t="s">
        <v>458</v>
      </c>
    </row>
    <row r="27" spans="1:5">
      <c r="A27" t="str" cm="1">
        <f t="array" aca="1" ref="A27" ca="1">CELL("odkaz",Zateplení!F7)</f>
        <v>'[12 - Kalkulačka_2024_09_30.xlsm]Zateplení'!$F$7</v>
      </c>
      <c r="C27" t="str">
        <f t="shared" ca="1" si="0"/>
        <v>Zateplení</v>
      </c>
      <c r="D27" t="str">
        <f t="shared" ca="1" si="1"/>
        <v>$F$7</v>
      </c>
      <c r="E27" s="403" t="s">
        <v>260</v>
      </c>
    </row>
    <row r="28" spans="1:5">
      <c r="A28" t="str" cm="1">
        <f t="array" aca="1" ref="A28" ca="1">CELL("odkaz",Zateplení!F8)</f>
        <v>'[12 - Kalkulačka_2024_09_30.xlsm]Zateplení'!$F$8</v>
      </c>
      <c r="C28" t="str">
        <f t="shared" ref="C28" ca="1" si="6">MID(SUBSTITUTE(A28,"'",""),FIND("]",SUBSTITUTE(A28,"'",""))+1,FIND("!",SUBSTITUTE(A28,"'",""))-FIND("]",SUBSTITUTE(A28,"'",""))-1)</f>
        <v>Zateplení</v>
      </c>
      <c r="D28" t="str">
        <f t="shared" ref="D28" ca="1" si="7">MID(A28,SEARCH("$",A28),20)</f>
        <v>$F$8</v>
      </c>
      <c r="E28" s="403" t="s">
        <v>260</v>
      </c>
    </row>
    <row r="29" spans="1:5">
      <c r="A29" t="str" cm="1">
        <f t="array" aca="1" ref="A29" ca="1">CELL("odkaz",Zateplení!F9)</f>
        <v>'[12 - Kalkulačka_2024_09_30.xlsm]Zateplení'!$F$9</v>
      </c>
      <c r="C29" t="str">
        <f t="shared" ca="1" si="0"/>
        <v>Zateplení</v>
      </c>
      <c r="D29" t="str">
        <f t="shared" ca="1" si="1"/>
        <v>$F$9</v>
      </c>
    </row>
    <row r="30" spans="1:5">
      <c r="A30" t="str" cm="1">
        <f t="array" aca="1" ref="A30" ca="1">CELL("odkaz",Zateplení!F10)</f>
        <v>'[12 - Kalkulačka_2024_09_30.xlsm]Zateplení'!$F$10</v>
      </c>
      <c r="C30" t="str">
        <f t="shared" ca="1" si="0"/>
        <v>Zateplení</v>
      </c>
      <c r="D30" t="str">
        <f t="shared" ca="1" si="1"/>
        <v>$F$10</v>
      </c>
      <c r="E30" s="403">
        <v>400</v>
      </c>
    </row>
    <row r="31" spans="1:5">
      <c r="A31" t="str" cm="1">
        <f t="array" aca="1" ref="A31" ca="1">CELL("odkaz",Zateplení!F11)</f>
        <v>'[12 - Kalkulačka_2024_09_30.xlsm]Zateplení'!$F$11</v>
      </c>
      <c r="C31" t="str">
        <f t="shared" ca="1" si="0"/>
        <v>Zateplení</v>
      </c>
      <c r="D31" t="str">
        <f t="shared" ca="1" si="1"/>
        <v>$F$11</v>
      </c>
      <c r="E31" s="403" t="s">
        <v>415</v>
      </c>
    </row>
    <row r="32" spans="1:5">
      <c r="A32" t="str" cm="1">
        <f t="array" aca="1" ref="A32" ca="1">CELL("odkaz",Zateplení!F12)</f>
        <v>'[12 - Kalkulačka_2024_09_30.xlsm]Zateplení'!$F$12</v>
      </c>
      <c r="C32" t="str">
        <f t="shared" ca="1" si="0"/>
        <v>Zateplení</v>
      </c>
      <c r="D32" t="str">
        <f t="shared" ca="1" si="1"/>
        <v>$F$12</v>
      </c>
      <c r="E32" s="403">
        <v>18</v>
      </c>
    </row>
    <row r="33" spans="1:5">
      <c r="A33" t="str" cm="1">
        <f t="array" aca="1" ref="A33" ca="1">CELL("odkaz",Zateplení!F13)</f>
        <v>'[12 - Kalkulačka_2024_09_30.xlsm]Zateplení'!$F$13</v>
      </c>
      <c r="C33" t="str">
        <f t="shared" ca="1" si="0"/>
        <v>Zateplení</v>
      </c>
      <c r="D33" t="str">
        <f t="shared" ca="1" si="1"/>
        <v>$F$13</v>
      </c>
      <c r="E33" s="403" t="s">
        <v>184</v>
      </c>
    </row>
    <row r="34" spans="1:5">
      <c r="A34" t="str" cm="1">
        <f t="array" aca="1" ref="A34" ca="1">CELL("odkaz",Zateplení!F14)</f>
        <v>'[12 - Kalkulačka_2024_09_30.xlsm]Zateplení'!$F$14</v>
      </c>
      <c r="C34" t="str">
        <f t="shared" ca="1" si="0"/>
        <v>Zateplení</v>
      </c>
      <c r="D34" t="str">
        <f t="shared" ca="1" si="1"/>
        <v>$F$14</v>
      </c>
    </row>
    <row r="35" spans="1:5">
      <c r="A35" t="str" cm="1">
        <f t="array" aca="1" ref="A35" ca="1">CELL("odkaz",Zateplení!F15)</f>
        <v>'[12 - Kalkulačka_2024_09_30.xlsm]Zateplení'!$F$15</v>
      </c>
      <c r="C35" t="str">
        <f t="shared" ca="1" si="0"/>
        <v>Zateplení</v>
      </c>
      <c r="D35" t="str">
        <f t="shared" ca="1" si="1"/>
        <v>$F$15</v>
      </c>
    </row>
    <row r="36" spans="1:5">
      <c r="A36" t="str" cm="1">
        <f t="array" aca="1" ref="A36" ca="1">CELL("odkaz",Zateplení!F17)</f>
        <v>'[12 - Kalkulačka_2024_09_30.xlsm]Zateplení'!$F$17</v>
      </c>
      <c r="C36" t="str">
        <f t="shared" ca="1" si="0"/>
        <v>Zateplení</v>
      </c>
      <c r="D36" t="str">
        <f t="shared" ca="1" si="1"/>
        <v>$F$17</v>
      </c>
    </row>
    <row r="37" spans="1:5">
      <c r="A37" t="str" cm="1">
        <f t="array" aca="1" ref="A37" ca="1">CELL("odkaz",Zateplení!F18)</f>
        <v>'[12 - Kalkulačka_2024_09_30.xlsm]Zateplení'!$F$18</v>
      </c>
      <c r="C37" t="str">
        <f t="shared" ca="1" si="0"/>
        <v>Zateplení</v>
      </c>
      <c r="D37" t="str">
        <f t="shared" ca="1" si="1"/>
        <v>$F$18</v>
      </c>
    </row>
    <row r="38" spans="1:5">
      <c r="A38" t="str" cm="1">
        <f t="array" aca="1" ref="A38" ca="1">CELL("odkaz",Zateplení!F19)</f>
        <v>'[12 - Kalkulačka_2024_09_30.xlsm]Zateplení'!$F$19</v>
      </c>
      <c r="C38" t="str">
        <f t="shared" ca="1" si="0"/>
        <v>Zateplení</v>
      </c>
      <c r="D38" t="str">
        <f t="shared" ca="1" si="1"/>
        <v>$F$19</v>
      </c>
    </row>
    <row r="39" spans="1:5">
      <c r="A39" t="str" cm="1">
        <f t="array" aca="1" ref="A39" ca="1">CELL("odkaz",Zateplení!F20)</f>
        <v>'[12 - Kalkulačka_2024_09_30.xlsm]Zateplení'!$F$20</v>
      </c>
      <c r="C39" t="str">
        <f t="shared" ca="1" si="0"/>
        <v>Zateplení</v>
      </c>
      <c r="D39" t="str">
        <f t="shared" ca="1" si="1"/>
        <v>$F$20</v>
      </c>
    </row>
    <row r="40" spans="1:5">
      <c r="A40" t="str" cm="1">
        <f t="array" aca="1" ref="A40" ca="1">CELL("odkaz",Zateplení!F21)</f>
        <v>'[12 - Kalkulačka_2024_09_30.xlsm]Zateplení'!$F$21</v>
      </c>
      <c r="C40" t="str">
        <f t="shared" ca="1" si="0"/>
        <v>Zateplení</v>
      </c>
      <c r="D40" t="str">
        <f t="shared" ca="1" si="1"/>
        <v>$F$21</v>
      </c>
    </row>
    <row r="41" spans="1:5">
      <c r="A41" t="str" cm="1">
        <f t="array" aca="1" ref="A41" ca="1">CELL("odkaz",Zateplení!F22)</f>
        <v>'[12 - Kalkulačka_2024_09_30.xlsm]Zateplení'!$F$22</v>
      </c>
      <c r="C41" t="str">
        <f t="shared" ca="1" si="0"/>
        <v>Zateplení</v>
      </c>
      <c r="D41" t="str">
        <f t="shared" ca="1" si="1"/>
        <v>$F$22</v>
      </c>
    </row>
    <row r="42" spans="1:5">
      <c r="A42" t="str" cm="1">
        <f t="array" aca="1" ref="A42" ca="1">CELL("odkaz",Zateplení!F26)</f>
        <v>'[12 - Kalkulačka_2024_09_30.xlsm]Zateplení'!$F$26</v>
      </c>
      <c r="C42" t="str">
        <f t="shared" ca="1" si="0"/>
        <v>Zateplení</v>
      </c>
      <c r="D42" t="str">
        <f t="shared" ca="1" si="1"/>
        <v>$F$26</v>
      </c>
      <c r="E42" s="403" t="s">
        <v>557</v>
      </c>
    </row>
    <row r="43" spans="1:5">
      <c r="A43" t="str" cm="1">
        <f t="array" aca="1" ref="A43" ca="1">CELL("odkaz",Zateplení!F27)</f>
        <v>'[12 - Kalkulačka_2024_09_30.xlsm]Zateplení'!$F$27</v>
      </c>
      <c r="C43" t="str">
        <f t="shared" ref="C43" ca="1" si="8">MID(SUBSTITUTE(A43,"'",""),FIND("]",SUBSTITUTE(A43,"'",""))+1,FIND("!",SUBSTITUTE(A43,"'",""))-FIND("]",SUBSTITUTE(A43,"'",""))-1)</f>
        <v>Zateplení</v>
      </c>
      <c r="D43" t="str">
        <f t="shared" ref="D43" ca="1" si="9">MID(A43,SEARCH("$",A43),20)</f>
        <v>$F$27</v>
      </c>
      <c r="E43" s="403">
        <v>500</v>
      </c>
    </row>
    <row r="44" spans="1:5">
      <c r="A44" t="str" cm="1">
        <f t="array" aca="1" ref="A44" ca="1">CELL("odkaz",Zateplení!F28)</f>
        <v>'[12 - Kalkulačka_2024_09_30.xlsm]Zateplení'!$F$28</v>
      </c>
      <c r="C44" t="str">
        <f t="shared" ca="1" si="0"/>
        <v>Zateplení</v>
      </c>
      <c r="D44" t="str">
        <f t="shared" ca="1" si="1"/>
        <v>$F$28</v>
      </c>
      <c r="E44" s="403" t="s">
        <v>495</v>
      </c>
    </row>
    <row r="45" spans="1:5">
      <c r="A45" t="str" cm="1">
        <f t="array" aca="1" ref="A45" ca="1">CELL("odkaz",Zateplení!F29)</f>
        <v>'[12 - Kalkulačka_2024_09_30.xlsm]Zateplení'!$F$29</v>
      </c>
      <c r="C45" t="str">
        <f t="shared" ca="1" si="0"/>
        <v>Zateplení</v>
      </c>
      <c r="D45" t="str">
        <f t="shared" ca="1" si="1"/>
        <v>$F$29</v>
      </c>
      <c r="E45" s="403" t="s">
        <v>580</v>
      </c>
    </row>
    <row r="46" spans="1:5">
      <c r="A46" t="str" cm="1">
        <f t="array" aca="1" ref="A46" ca="1">CELL("odkaz",Zateplení!F30)</f>
        <v>'[12 - Kalkulačka_2024_09_30.xlsm]Zateplení'!$F$30</v>
      </c>
      <c r="C46" t="str">
        <f t="shared" ref="C46" ca="1" si="10">MID(SUBSTITUTE(A46,"'",""),FIND("]",SUBSTITUTE(A46,"'",""))+1,FIND("!",SUBSTITUTE(A46,"'",""))-FIND("]",SUBSTITUTE(A46,"'",""))-1)</f>
        <v>Zateplení</v>
      </c>
      <c r="D46" t="str">
        <f t="shared" ref="D46" ca="1" si="11">MID(A46,SEARCH("$",A46),20)</f>
        <v>$F$30</v>
      </c>
      <c r="E46" s="403">
        <v>400</v>
      </c>
    </row>
    <row r="47" spans="1:5">
      <c r="A47" t="str" cm="1">
        <f t="array" aca="1" ref="A47" ca="1">CELL("odkaz",Zateplení!F31)</f>
        <v>'[12 - Kalkulačka_2024_09_30.xlsm]Zateplení'!$F$31</v>
      </c>
      <c r="C47" t="str">
        <f t="shared" ca="1" si="0"/>
        <v>Zateplení</v>
      </c>
      <c r="D47" t="str">
        <f t="shared" ca="1" si="1"/>
        <v>$F$31</v>
      </c>
      <c r="E47" s="403" t="s">
        <v>544</v>
      </c>
    </row>
    <row r="48" spans="1:5">
      <c r="A48" t="str" cm="1">
        <f t="array" aca="1" ref="A48" ca="1">CELL("odkaz",Zateplení!F32)</f>
        <v>'[12 - Kalkulačka_2024_09_30.xlsm]Zateplení'!$F$32</v>
      </c>
      <c r="C48" t="str">
        <f t="shared" ca="1" si="0"/>
        <v>Zateplení</v>
      </c>
      <c r="D48" t="str">
        <f t="shared" ca="1" si="1"/>
        <v>$F$32</v>
      </c>
      <c r="E48" s="403" t="s">
        <v>638</v>
      </c>
    </row>
    <row r="49" spans="1:5">
      <c r="A49" t="str" cm="1">
        <f t="array" aca="1" ref="A49" ca="1">CELL("odkaz",Zateplení!F33)</f>
        <v>'[12 - Kalkulačka_2024_09_30.xlsm]Zateplení'!$F$33</v>
      </c>
      <c r="C49" t="str">
        <f t="shared" ref="C49" ca="1" si="12">MID(SUBSTITUTE(A49,"'",""),FIND("]",SUBSTITUTE(A49,"'",""))+1,FIND("!",SUBSTITUTE(A49,"'",""))-FIND("]",SUBSTITUTE(A49,"'",""))-1)</f>
        <v>Zateplení</v>
      </c>
      <c r="D49" t="str">
        <f t="shared" ref="D49" ca="1" si="13">MID(A49,SEARCH("$",A49),20)</f>
        <v>$F$33</v>
      </c>
      <c r="E49" s="403">
        <v>400</v>
      </c>
    </row>
    <row r="50" spans="1:5">
      <c r="A50" t="str" cm="1">
        <f t="array" aca="1" ref="A50" ca="1">CELL("odkaz",Zateplení!F34)</f>
        <v>'[12 - Kalkulačka_2024_09_30.xlsm]Zateplení'!$F$34</v>
      </c>
      <c r="C50" t="str">
        <f t="shared" ca="1" si="0"/>
        <v>Zateplení</v>
      </c>
      <c r="D50" t="str">
        <f t="shared" ca="1" si="1"/>
        <v>$F$34</v>
      </c>
      <c r="E50" s="403" t="s">
        <v>611</v>
      </c>
    </row>
    <row r="51" spans="1:5">
      <c r="A51" t="str" cm="1">
        <f t="array" aca="1" ref="A51" ca="1">CELL("odkaz",Zateplení!F35)</f>
        <v>'[12 - Kalkulačka_2024_09_30.xlsm]Zateplení'!$F$35</v>
      </c>
      <c r="C51" t="str">
        <f t="shared" ref="C51" ca="1" si="14">MID(SUBSTITUTE(A51,"'",""),FIND("]",SUBSTITUTE(A51,"'",""))+1,FIND("!",SUBSTITUTE(A51,"'",""))-FIND("]",SUBSTITUTE(A51,"'",""))-1)</f>
        <v>Zateplení</v>
      </c>
      <c r="D51" t="str">
        <f t="shared" ref="D51" ca="1" si="15">MID(A51,SEARCH("$",A51),20)</f>
        <v>$F$35</v>
      </c>
      <c r="E51" s="403">
        <v>70</v>
      </c>
    </row>
    <row r="52" spans="1:5">
      <c r="A52" t="str" cm="1">
        <f t="array" aca="1" ref="A52" ca="1">CELL("odkaz",Zateplení!F36)</f>
        <v>'[12 - Kalkulačka_2024_09_30.xlsm]Zateplení'!$F$36</v>
      </c>
      <c r="C52" t="str">
        <f t="shared" ca="1" si="0"/>
        <v>Zateplení</v>
      </c>
      <c r="D52" t="str">
        <f t="shared" ca="1" si="1"/>
        <v>$F$36</v>
      </c>
      <c r="E52" s="403" t="s">
        <v>630</v>
      </c>
    </row>
    <row r="53" spans="1:5">
      <c r="A53" t="str" cm="1">
        <f t="array" aca="1" ref="A53" ca="1">CELL("odkaz",Zateplení!F37)</f>
        <v>'[12 - Kalkulačka_2024_09_30.xlsm]Zateplení'!$F$37</v>
      </c>
      <c r="C53" t="str">
        <f t="shared" ref="C53" ca="1" si="16">MID(SUBSTITUTE(A53,"'",""),FIND("]",SUBSTITUTE(A53,"'",""))+1,FIND("!",SUBSTITUTE(A53,"'",""))-FIND("]",SUBSTITUTE(A53,"'",""))-1)</f>
        <v>Zateplení</v>
      </c>
      <c r="D53" t="str">
        <f t="shared" ref="D53" ca="1" si="17">MID(A53,SEARCH("$",A53),20)</f>
        <v>$F$37</v>
      </c>
      <c r="E53" s="403">
        <v>30</v>
      </c>
    </row>
    <row r="54" spans="1:5">
      <c r="A54" t="str" cm="1">
        <f t="array" aca="1" ref="A54" ca="1">CELL("odkaz",Zateplení!F38)</f>
        <v>'[12 - Kalkulačka_2024_09_30.xlsm]Zateplení'!$F$38</v>
      </c>
      <c r="C54" t="str">
        <f t="shared" ca="1" si="0"/>
        <v>Zateplení</v>
      </c>
      <c r="D54" t="str">
        <f t="shared" ca="1" si="1"/>
        <v>$F$38</v>
      </c>
    </row>
    <row r="55" spans="1:5">
      <c r="A55" t="str" cm="1">
        <f t="array" aca="1" ref="A55" ca="1">CELL("odkaz",Zateplení!F39)</f>
        <v>'[12 - Kalkulačka_2024_09_30.xlsm]Zateplení'!$F$39</v>
      </c>
      <c r="C55" t="str">
        <f t="shared" ref="C55" ca="1" si="18">MID(SUBSTITUTE(A55,"'",""),FIND("]",SUBSTITUTE(A55,"'",""))+1,FIND("!",SUBSTITUTE(A55,"'",""))-FIND("]",SUBSTITUTE(A55,"'",""))-1)</f>
        <v>Zateplení</v>
      </c>
      <c r="D55" t="str">
        <f t="shared" ref="D55" ca="1" si="19">MID(A55,SEARCH("$",A55),20)</f>
        <v>$F$39</v>
      </c>
    </row>
    <row r="56" spans="1:5">
      <c r="A56" t="str" cm="1">
        <f t="array" aca="1" ref="A56" ca="1">CELL("odkaz",Zateplení!F42)</f>
        <v>'[12 - Kalkulačka_2024_09_30.xlsm]Zateplení'!$F$42</v>
      </c>
      <c r="C56" t="str">
        <f t="shared" ca="1" si="0"/>
        <v>Zateplení</v>
      </c>
      <c r="D56" t="str">
        <f t="shared" ca="1" si="1"/>
        <v>$F$42</v>
      </c>
      <c r="E56" s="403" t="s">
        <v>259</v>
      </c>
    </row>
    <row r="57" spans="1:5">
      <c r="A57" t="str" cm="1">
        <f t="array" aca="1" ref="A57" ca="1">CELL("odkaz",Zateplení!F43)</f>
        <v>'[12 - Kalkulačka_2024_09_30.xlsm]Zateplení'!$F$43</v>
      </c>
      <c r="C57" t="str">
        <f t="shared" ca="1" si="0"/>
        <v>Zateplení</v>
      </c>
      <c r="D57" t="str">
        <f t="shared" ca="1" si="1"/>
        <v>$F$43</v>
      </c>
      <c r="E57" s="403" t="s">
        <v>673</v>
      </c>
    </row>
    <row r="58" spans="1:5">
      <c r="A58" t="str" cm="1">
        <f t="array" aca="1" ref="A58" ca="1">CELL("odkaz",Zateplení!F44)</f>
        <v>'[12 - Kalkulačka_2024_09_30.xlsm]Zateplení'!$F$44</v>
      </c>
      <c r="C58" t="str">
        <f t="shared" ca="1" si="0"/>
        <v>Zateplení</v>
      </c>
      <c r="D58" t="str">
        <f t="shared" ca="1" si="1"/>
        <v>$F$44</v>
      </c>
      <c r="E58" s="403">
        <v>280</v>
      </c>
    </row>
    <row r="59" spans="1:5">
      <c r="A59" t="str" cm="1">
        <f t="array" aca="1" ref="A59" ca="1">CELL("odkaz",Zateplení!F45)</f>
        <v>'[12 - Kalkulačka_2024_09_30.xlsm]Zateplení'!$F$45</v>
      </c>
      <c r="C59" t="str">
        <f t="shared" ca="1" si="0"/>
        <v>Zateplení</v>
      </c>
      <c r="D59" t="str">
        <f t="shared" ca="1" si="1"/>
        <v>$F$45</v>
      </c>
      <c r="E59" s="403">
        <v>500</v>
      </c>
    </row>
    <row r="60" spans="1:5">
      <c r="A60" t="str" cm="1">
        <f t="array" aca="1" ref="A60" ca="1">CELL("odkaz",Zateplení!F46)</f>
        <v>'[12 - Kalkulačka_2024_09_30.xlsm]Zateplení'!$F$46</v>
      </c>
      <c r="C60" t="str">
        <f t="shared" ca="1" si="0"/>
        <v>Zateplení</v>
      </c>
      <c r="D60" t="str">
        <f t="shared" ca="1" si="1"/>
        <v>$F$46</v>
      </c>
    </row>
    <row r="61" spans="1:5">
      <c r="A61" t="str" cm="1">
        <f t="array" aca="1" ref="A61" ca="1">CELL("odkaz",Zateplení!F50)</f>
        <v>'[12 - Kalkulačka_2024_09_30.xlsm]Zateplení'!$F$50</v>
      </c>
      <c r="C61" t="str">
        <f t="shared" ca="1" si="0"/>
        <v>Zateplení</v>
      </c>
      <c r="D61" t="str">
        <f t="shared" ca="1" si="1"/>
        <v>$F$50</v>
      </c>
      <c r="E61" s="403" t="s">
        <v>259</v>
      </c>
    </row>
    <row r="62" spans="1:5">
      <c r="A62" t="str" cm="1">
        <f t="array" aca="1" ref="A62" ca="1">CELL("odkaz",Zateplení!F51)</f>
        <v>'[12 - Kalkulačka_2024_09_30.xlsm]Zateplení'!$F$51</v>
      </c>
      <c r="C62" t="str">
        <f t="shared" ca="1" si="0"/>
        <v>Zateplení</v>
      </c>
      <c r="D62" t="str">
        <f t="shared" ca="1" si="1"/>
        <v>$F$51</v>
      </c>
      <c r="E62" s="403" t="s">
        <v>684</v>
      </c>
    </row>
    <row r="63" spans="1:5">
      <c r="A63" t="str" cm="1">
        <f t="array" aca="1" ref="A63" ca="1">CELL("odkaz",Zateplení!F52)</f>
        <v>'[12 - Kalkulačka_2024_09_30.xlsm]Zateplení'!$F$52</v>
      </c>
      <c r="C63" t="str">
        <f t="shared" ca="1" si="0"/>
        <v>Zateplení</v>
      </c>
      <c r="D63" t="str">
        <f t="shared" ca="1" si="1"/>
        <v>$F$52</v>
      </c>
      <c r="E63" s="403">
        <v>380</v>
      </c>
    </row>
    <row r="64" spans="1:5">
      <c r="A64" t="str" cm="1">
        <f t="array" aca="1" ref="A64" ca="1">CELL("odkaz",Zateplení!F53)</f>
        <v>'[12 - Kalkulačka_2024_09_30.xlsm]Zateplení'!$F$53</v>
      </c>
      <c r="C64" t="str">
        <f t="shared" ca="1" si="0"/>
        <v>Zateplení</v>
      </c>
      <c r="D64" t="str">
        <f t="shared" ca="1" si="1"/>
        <v>$F$53</v>
      </c>
      <c r="E64" s="403">
        <v>400</v>
      </c>
    </row>
    <row r="65" spans="1:5">
      <c r="A65" t="str" cm="1">
        <f t="array" aca="1" ref="A65" ca="1">CELL("odkaz",Zateplení!F54)</f>
        <v>'[12 - Kalkulačka_2024_09_30.xlsm]Zateplení'!$F$54</v>
      </c>
      <c r="C65" t="str">
        <f t="shared" ca="1" si="0"/>
        <v>Zateplení</v>
      </c>
      <c r="D65" t="str">
        <f t="shared" ca="1" si="1"/>
        <v>$F$54</v>
      </c>
    </row>
    <row r="66" spans="1:5">
      <c r="A66" t="str" cm="1">
        <f t="array" aca="1" ref="A66" ca="1">CELL("odkaz",Zateplení!F58)</f>
        <v>'[12 - Kalkulačka_2024_09_30.xlsm]Zateplení'!$F$58</v>
      </c>
      <c r="C66" t="str">
        <f t="shared" ca="1" si="0"/>
        <v>Zateplení</v>
      </c>
      <c r="D66" t="str">
        <f t="shared" ca="1" si="1"/>
        <v>$F$58</v>
      </c>
      <c r="E66" s="403" t="s">
        <v>260</v>
      </c>
    </row>
    <row r="67" spans="1:5">
      <c r="A67" t="str" cm="1">
        <f t="array" aca="1" ref="A67" ca="1">CELL("odkaz",Zateplení!F59)</f>
        <v>'[12 - Kalkulačka_2024_09_30.xlsm]Zateplení'!$F$59</v>
      </c>
      <c r="C67" t="str">
        <f t="shared" ca="1" si="0"/>
        <v>Zateplení</v>
      </c>
      <c r="D67" t="str">
        <f t="shared" ca="1" si="1"/>
        <v>$F$59</v>
      </c>
      <c r="E67" s="403" t="s">
        <v>703</v>
      </c>
    </row>
    <row r="68" spans="1:5">
      <c r="A68" t="str" cm="1">
        <f t="array" aca="1" ref="A68" ca="1">CELL("odkaz",Zateplení!F60)</f>
        <v>'[12 - Kalkulačka_2024_09_30.xlsm]Zateplení'!$F$60</v>
      </c>
      <c r="C68" t="str">
        <f t="shared" ca="1" si="0"/>
        <v>Zateplení</v>
      </c>
      <c r="D68" t="str">
        <f t="shared" ca="1" si="1"/>
        <v>$F$60</v>
      </c>
      <c r="E68" s="403">
        <v>200</v>
      </c>
    </row>
    <row r="69" spans="1:5">
      <c r="A69" t="str" cm="1">
        <f t="array" aca="1" ref="A69" ca="1">CELL("odkaz",Zateplení!F61)</f>
        <v>'[12 - Kalkulačka_2024_09_30.xlsm]Zateplení'!$F$61</v>
      </c>
      <c r="C69" t="str">
        <f t="shared" ca="1" si="0"/>
        <v>Zateplení</v>
      </c>
      <c r="D69" t="str">
        <f t="shared" ca="1" si="1"/>
        <v>$F$61</v>
      </c>
      <c r="E69" s="403">
        <v>400</v>
      </c>
    </row>
    <row r="70" spans="1:5">
      <c r="A70" t="str" cm="1">
        <f t="array" aca="1" ref="A70" ca="1">CELL("odkaz",Zateplení!F62)</f>
        <v>'[12 - Kalkulačka_2024_09_30.xlsm]Zateplení'!$F$62</v>
      </c>
      <c r="C70" t="str">
        <f t="shared" ref="C70:C133" ca="1" si="20">MID(SUBSTITUTE(A70,"'",""),FIND("]",SUBSTITUTE(A70,"'",""))+1,FIND("!",SUBSTITUTE(A70,"'",""))-FIND("]",SUBSTITUTE(A70,"'",""))-1)</f>
        <v>Zateplení</v>
      </c>
      <c r="D70" t="str">
        <f t="shared" ref="D70:D133" ca="1" si="21">MID(A70,SEARCH("$",A70),20)</f>
        <v>$F$62</v>
      </c>
    </row>
    <row r="71" spans="1:5">
      <c r="A71" t="str" cm="1">
        <f t="array" aca="1" ref="A71" ca="1">CELL("odkaz",Zateplení!F66)</f>
        <v>'[12 - Kalkulačka_2024_09_30.xlsm]Zateplení'!$F$66</v>
      </c>
      <c r="C71" t="str">
        <f t="shared" ca="1" si="20"/>
        <v>Zateplení</v>
      </c>
      <c r="D71" t="str">
        <f t="shared" ca="1" si="21"/>
        <v>$F$66</v>
      </c>
      <c r="E71" s="403" t="s">
        <v>259</v>
      </c>
    </row>
    <row r="72" spans="1:5">
      <c r="A72" t="str" cm="1">
        <f t="array" aca="1" ref="A72" ca="1">CELL("odkaz",Zateplení!F67)</f>
        <v>'[12 - Kalkulačka_2024_09_30.xlsm]Zateplení'!$F$67</v>
      </c>
      <c r="C72" t="str">
        <f t="shared" ca="1" si="20"/>
        <v>Zateplení</v>
      </c>
      <c r="D72" t="str">
        <f t="shared" ca="1" si="21"/>
        <v>$F$67</v>
      </c>
      <c r="E72" s="403" t="s">
        <v>713</v>
      </c>
    </row>
    <row r="73" spans="1:5">
      <c r="A73" t="str" cm="1">
        <f t="array" aca="1" ref="A73" ca="1">CELL("odkaz",Zateplení!F68)</f>
        <v>'[12 - Kalkulačka_2024_09_30.xlsm]Zateplení'!$F$68</v>
      </c>
      <c r="C73" t="str">
        <f t="shared" ca="1" si="20"/>
        <v>Zateplení</v>
      </c>
      <c r="D73" t="str">
        <f t="shared" ca="1" si="21"/>
        <v>$F$68</v>
      </c>
      <c r="E73" s="403">
        <v>70</v>
      </c>
    </row>
    <row r="74" spans="1:5">
      <c r="A74" t="str" cm="1">
        <f t="array" aca="1" ref="A74" ca="1">CELL("odkaz",Zateplení!F69)</f>
        <v>'[12 - Kalkulačka_2024_09_30.xlsm]Zateplení'!$F$69</v>
      </c>
      <c r="C74" t="str">
        <f t="shared" ca="1" si="20"/>
        <v>Zateplení</v>
      </c>
      <c r="D74" t="str">
        <f t="shared" ca="1" si="21"/>
        <v>$F$69</v>
      </c>
      <c r="E74" s="403">
        <v>0.8</v>
      </c>
    </row>
    <row r="75" spans="1:5">
      <c r="A75" t="str" cm="1">
        <f t="array" aca="1" ref="A75" ca="1">CELL("odkaz",Zateplení!F72)</f>
        <v>'[12 - Kalkulačka_2024_09_30.xlsm]Zateplení'!$F$72</v>
      </c>
      <c r="C75" t="str">
        <f t="shared" ca="1" si="20"/>
        <v>Zateplení</v>
      </c>
      <c r="D75" t="str">
        <f t="shared" ca="1" si="21"/>
        <v>$F$72</v>
      </c>
      <c r="E75" s="403" t="s">
        <v>259</v>
      </c>
    </row>
    <row r="76" spans="1:5">
      <c r="A76" t="str" cm="1">
        <f t="array" aca="1" ref="A76" ca="1">CELL("odkaz",Zateplení!F73)</f>
        <v>'[12 - Kalkulačka_2024_09_30.xlsm]Zateplení'!$F$73</v>
      </c>
      <c r="C76" t="str">
        <f t="shared" ca="1" si="20"/>
        <v>Zateplení</v>
      </c>
      <c r="D76" t="str">
        <f t="shared" ca="1" si="21"/>
        <v>$F$73</v>
      </c>
      <c r="E76" s="403" t="s">
        <v>720</v>
      </c>
    </row>
    <row r="77" spans="1:5">
      <c r="A77" t="str" cm="1">
        <f t="array" aca="1" ref="A77" ca="1">CELL("odkaz",Zateplení!F74)</f>
        <v>'[12 - Kalkulačka_2024_09_30.xlsm]Zateplení'!$F$74</v>
      </c>
      <c r="C77" t="str">
        <f t="shared" ca="1" si="20"/>
        <v>Zateplení</v>
      </c>
      <c r="D77" t="str">
        <f t="shared" ca="1" si="21"/>
        <v>$F$74</v>
      </c>
      <c r="E77" s="403">
        <v>30</v>
      </c>
    </row>
    <row r="78" spans="1:5">
      <c r="A78" t="str" cm="1">
        <f t="array" aca="1" ref="A78" ca="1">CELL("odkaz",Zateplení!F75)</f>
        <v>'[12 - Kalkulačka_2024_09_30.xlsm]Zateplení'!$F$75</v>
      </c>
      <c r="C78" t="str">
        <f t="shared" ca="1" si="20"/>
        <v>Zateplení</v>
      </c>
      <c r="D78" t="str">
        <f t="shared" ca="1" si="21"/>
        <v>$F$75</v>
      </c>
      <c r="E78" s="403">
        <v>1</v>
      </c>
    </row>
    <row r="79" spans="1:5">
      <c r="A79" t="str" cm="1">
        <f t="array" aca="1" ref="A79" ca="1">CELL("odkaz",Zateplení!F78)</f>
        <v>'[12 - Kalkulačka_2024_09_30.xlsm]Zateplení'!$F$78</v>
      </c>
      <c r="C79" t="str">
        <f t="shared" ca="1" si="20"/>
        <v>Zateplení</v>
      </c>
      <c r="D79" t="str">
        <f t="shared" ca="1" si="21"/>
        <v>$F$78</v>
      </c>
    </row>
    <row r="80" spans="1:5">
      <c r="A80" t="str" cm="1">
        <f t="array" aca="1" ref="A80" ca="1">CELL("odkaz",Zateplení!F79)</f>
        <v>'[12 - Kalkulačka_2024_09_30.xlsm]Zateplení'!$F$79</v>
      </c>
      <c r="C80" t="str">
        <f t="shared" ca="1" si="20"/>
        <v>Zateplení</v>
      </c>
      <c r="D80" t="str">
        <f t="shared" ca="1" si="21"/>
        <v>$F$79</v>
      </c>
    </row>
    <row r="81" spans="1:5">
      <c r="A81" t="str" cm="1">
        <f t="array" aca="1" ref="A81" ca="1">CELL("odkaz",Zateplení!F80)</f>
        <v>'[12 - Kalkulačka_2024_09_30.xlsm]Zateplení'!$F$80</v>
      </c>
      <c r="C81" t="str">
        <f t="shared" ca="1" si="20"/>
        <v>Zateplení</v>
      </c>
      <c r="D81" t="str">
        <f t="shared" ca="1" si="21"/>
        <v>$F$80</v>
      </c>
    </row>
    <row r="82" spans="1:5">
      <c r="A82" t="str" cm="1">
        <f t="array" aca="1" ref="A82" ca="1">CELL("odkaz",Zateplení!F81)</f>
        <v>'[12 - Kalkulačka_2024_09_30.xlsm]Zateplení'!$F$81</v>
      </c>
      <c r="C82" t="str">
        <f t="shared" ca="1" si="20"/>
        <v>Zateplení</v>
      </c>
      <c r="D82" t="str">
        <f t="shared" ca="1" si="21"/>
        <v>$F$81</v>
      </c>
    </row>
    <row r="83" spans="1:5">
      <c r="A83" t="str" cm="1">
        <f t="array" aca="1" ref="A83" ca="1">CELL("odkaz",Rekuperace!D4)</f>
        <v>'[12 - Kalkulačka_2024_09_30.xlsm]Rekuperace'!$D$4</v>
      </c>
      <c r="C83" t="str">
        <f t="shared" ca="1" si="20"/>
        <v>Rekuperace</v>
      </c>
      <c r="D83" t="str">
        <f t="shared" ca="1" si="21"/>
        <v>$D$4</v>
      </c>
      <c r="E83" s="403">
        <v>0.85</v>
      </c>
    </row>
    <row r="84" spans="1:5">
      <c r="A84" t="str" cm="1">
        <f t="array" aca="1" ref="A84" ca="1">CELL("odkaz",Rekuperace!D5)</f>
        <v>'[12 - Kalkulačka_2024_09_30.xlsm]Rekuperace'!$D$5</v>
      </c>
      <c r="C84" t="str">
        <f t="shared" ca="1" si="20"/>
        <v>Rekuperace</v>
      </c>
      <c r="D84" t="str">
        <f t="shared" ca="1" si="21"/>
        <v>$D$5</v>
      </c>
      <c r="E84" s="403">
        <v>1500</v>
      </c>
    </row>
    <row r="85" spans="1:5">
      <c r="A85" t="str" cm="1">
        <f t="array" aca="1" ref="A85" ca="1">CELL("odkaz",Rekuperace!D6)</f>
        <v>'[12 - Kalkulačka_2024_09_30.xlsm]Rekuperace'!$D$6</v>
      </c>
      <c r="C85" t="str">
        <f t="shared" ca="1" si="20"/>
        <v>Rekuperace</v>
      </c>
      <c r="D85" t="str">
        <f t="shared" ca="1" si="21"/>
        <v>$D$6</v>
      </c>
    </row>
    <row r="86" spans="1:5">
      <c r="A86" t="str" cm="1">
        <f t="array" aca="1" ref="A86" ca="1">CELL("odkaz",Osvětlení!E4)</f>
        <v>'[12 - Kalkulačka_2024_09_30.xlsm]Osvětlení'!$E$4</v>
      </c>
      <c r="C86" t="str">
        <f t="shared" ca="1" si="20"/>
        <v>Osvětlení</v>
      </c>
      <c r="D86" t="str">
        <f t="shared" ca="1" si="21"/>
        <v>$E$4</v>
      </c>
      <c r="E86" s="403" t="s">
        <v>260</v>
      </c>
    </row>
    <row r="87" spans="1:5">
      <c r="A87" t="str" cm="1">
        <f t="array" aca="1" ref="A87" ca="1">CELL("odkaz",Osvětlení!E5)</f>
        <v>'[12 - Kalkulačka_2024_09_30.xlsm]Osvětlení'!$E$5</v>
      </c>
      <c r="C87" t="str">
        <f t="shared" ca="1" si="20"/>
        <v>Osvětlení</v>
      </c>
      <c r="D87" t="str">
        <f t="shared" ca="1" si="21"/>
        <v>$E$5</v>
      </c>
    </row>
    <row r="88" spans="1:5">
      <c r="A88" t="str" cm="1">
        <f t="array" aca="1" ref="A88" ca="1">CELL("odkaz",Osvětlení!E6)</f>
        <v>'[12 - Kalkulačka_2024_09_30.xlsm]Osvětlení'!$E$6</v>
      </c>
      <c r="C88" t="str">
        <f t="shared" ca="1" si="20"/>
        <v>Osvětlení</v>
      </c>
      <c r="D88" t="str">
        <f t="shared" ca="1" si="21"/>
        <v>$E$6</v>
      </c>
    </row>
    <row r="89" spans="1:5">
      <c r="A89" t="str" cm="1">
        <f t="array" aca="1" ref="A89" ca="1">CELL("odkaz",Osvětlení!E7)</f>
        <v>'[12 - Kalkulačka_2024_09_30.xlsm]Osvětlení'!$E$7</v>
      </c>
      <c r="C89" t="str">
        <f t="shared" ca="1" si="20"/>
        <v>Osvětlení</v>
      </c>
      <c r="D89" t="str">
        <f t="shared" ca="1" si="21"/>
        <v>$E$7</v>
      </c>
    </row>
    <row r="90" spans="1:5">
      <c r="A90" t="str" cm="1">
        <f t="array" aca="1" ref="A90" ca="1">CELL("odkaz",Osvětlení!E8)</f>
        <v>'[12 - Kalkulačka_2024_09_30.xlsm]Osvětlení'!$E$8</v>
      </c>
      <c r="C90" t="str">
        <f t="shared" ca="1" si="20"/>
        <v>Osvětlení</v>
      </c>
      <c r="D90" t="str">
        <f t="shared" ca="1" si="21"/>
        <v>$E$8</v>
      </c>
    </row>
    <row r="91" spans="1:5">
      <c r="A91" t="str" cm="1">
        <f t="array" aca="1" ref="A91" ca="1">CELL("odkaz",Osvětlení!E10)</f>
        <v>'[12 - Kalkulačka_2024_09_30.xlsm]Osvětlení'!$E$10</v>
      </c>
      <c r="C91" t="str">
        <f t="shared" ca="1" si="20"/>
        <v>Osvětlení</v>
      </c>
      <c r="D91" t="str">
        <f t="shared" ca="1" si="21"/>
        <v>$E$10</v>
      </c>
      <c r="E91" s="403" t="s">
        <v>260</v>
      </c>
    </row>
    <row r="92" spans="1:5">
      <c r="A92" t="str" cm="1">
        <f t="array" aca="1" ref="A92" ca="1">CELL("odkaz",Osvětlení!E11)</f>
        <v>'[12 - Kalkulačka_2024_09_30.xlsm]Osvětlení'!$E$11</v>
      </c>
      <c r="C92" t="str">
        <f t="shared" ca="1" si="20"/>
        <v>Osvětlení</v>
      </c>
      <c r="D92" t="str">
        <f t="shared" ca="1" si="21"/>
        <v>$E$11</v>
      </c>
    </row>
    <row r="93" spans="1:5">
      <c r="A93" t="str" cm="1">
        <f t="array" aca="1" ref="A93" ca="1">CELL("odkaz",Osvětlení!E12)</f>
        <v>'[12 - Kalkulačka_2024_09_30.xlsm]Osvětlení'!$E$12</v>
      </c>
      <c r="C93" t="str">
        <f t="shared" ca="1" si="20"/>
        <v>Osvětlení</v>
      </c>
      <c r="D93" t="str">
        <f t="shared" ca="1" si="21"/>
        <v>$E$12</v>
      </c>
    </row>
    <row r="94" spans="1:5">
      <c r="A94" t="str" cm="1">
        <f t="array" aca="1" ref="A94" ca="1">CELL("odkaz",Osvětlení!E13)</f>
        <v>'[12 - Kalkulačka_2024_09_30.xlsm]Osvětlení'!$E$13</v>
      </c>
      <c r="C94" t="str">
        <f t="shared" ca="1" si="20"/>
        <v>Osvětlení</v>
      </c>
      <c r="D94" t="str">
        <f t="shared" ca="1" si="21"/>
        <v>$E$13</v>
      </c>
    </row>
    <row r="95" spans="1:5">
      <c r="A95" t="str" cm="1">
        <f t="array" aca="1" ref="A95" ca="1">CELL("odkaz",Osvětlení!E14)</f>
        <v>'[12 - Kalkulačka_2024_09_30.xlsm]Osvětlení'!$E$14</v>
      </c>
      <c r="C95" t="str">
        <f t="shared" ca="1" si="20"/>
        <v>Osvětlení</v>
      </c>
      <c r="D95" t="str">
        <f t="shared" ca="1" si="21"/>
        <v>$E$14</v>
      </c>
    </row>
    <row r="96" spans="1:5">
      <c r="A96" t="str" cm="1">
        <f t="array" aca="1" ref="A96" ca="1">CELL("odkaz",Osvětlení!E16)</f>
        <v>'[12 - Kalkulačka_2024_09_30.xlsm]Osvětlení'!$E$16</v>
      </c>
      <c r="C96" t="str">
        <f t="shared" ca="1" si="20"/>
        <v>Osvětlení</v>
      </c>
      <c r="D96" t="str">
        <f t="shared" ca="1" si="21"/>
        <v>$E$16</v>
      </c>
      <c r="E96" s="403" t="s">
        <v>260</v>
      </c>
    </row>
    <row r="97" spans="1:5">
      <c r="A97" t="str" cm="1">
        <f t="array" aca="1" ref="A97" ca="1">CELL("odkaz",Osvětlení!E17)</f>
        <v>'[12 - Kalkulačka_2024_09_30.xlsm]Osvětlení'!$E$17</v>
      </c>
      <c r="C97" t="str">
        <f t="shared" ca="1" si="20"/>
        <v>Osvětlení</v>
      </c>
      <c r="D97" t="str">
        <f t="shared" ca="1" si="21"/>
        <v>$E$17</v>
      </c>
    </row>
    <row r="98" spans="1:5">
      <c r="A98" t="str" cm="1">
        <f t="array" aca="1" ref="A98" ca="1">CELL("odkaz",Osvětlení!E18)</f>
        <v>'[12 - Kalkulačka_2024_09_30.xlsm]Osvětlení'!$E$18</v>
      </c>
      <c r="C98" t="str">
        <f t="shared" ca="1" si="20"/>
        <v>Osvětlení</v>
      </c>
      <c r="D98" t="str">
        <f t="shared" ca="1" si="21"/>
        <v>$E$18</v>
      </c>
    </row>
    <row r="99" spans="1:5">
      <c r="A99" t="str" cm="1">
        <f t="array" aca="1" ref="A99" ca="1">CELL("odkaz",Osvětlení!E19)</f>
        <v>'[12 - Kalkulačka_2024_09_30.xlsm]Osvětlení'!$E$19</v>
      </c>
      <c r="C99" t="str">
        <f t="shared" ca="1" si="20"/>
        <v>Osvětlení</v>
      </c>
      <c r="D99" t="str">
        <f t="shared" ca="1" si="21"/>
        <v>$E$19</v>
      </c>
    </row>
    <row r="100" spans="1:5">
      <c r="A100" t="str" cm="1">
        <f t="array" aca="1" ref="A100" ca="1">CELL("odkaz",Osvětlení!E20)</f>
        <v>'[12 - Kalkulačka_2024_09_30.xlsm]Osvětlení'!$E$20</v>
      </c>
      <c r="C100" t="str">
        <f t="shared" ca="1" si="20"/>
        <v>Osvětlení</v>
      </c>
      <c r="D100" t="str">
        <f t="shared" ca="1" si="21"/>
        <v>$E$20</v>
      </c>
    </row>
    <row r="101" spans="1:5">
      <c r="A101" t="str" cm="1">
        <f t="array" aca="1" ref="A101" ca="1">CELL("odkaz",Osvětlení!E22)</f>
        <v>'[12 - Kalkulačka_2024_09_30.xlsm]Osvětlení'!$E$22</v>
      </c>
      <c r="C101" t="str">
        <f t="shared" ca="1" si="20"/>
        <v>Osvětlení</v>
      </c>
      <c r="D101" t="str">
        <f t="shared" ca="1" si="21"/>
        <v>$E$22</v>
      </c>
      <c r="E101" s="403" t="s">
        <v>259</v>
      </c>
    </row>
    <row r="102" spans="1:5">
      <c r="A102" t="str" cm="1">
        <f t="array" aca="1" ref="A102" ca="1">CELL("odkaz",Osvětlení!E23)</f>
        <v>'[12 - Kalkulačka_2024_09_30.xlsm]Osvětlení'!$E$23</v>
      </c>
      <c r="C102" t="str">
        <f t="shared" ca="1" si="20"/>
        <v>Osvětlení</v>
      </c>
      <c r="D102" t="str">
        <f t="shared" ca="1" si="21"/>
        <v>$E$23</v>
      </c>
      <c r="E102" s="403">
        <v>10</v>
      </c>
    </row>
    <row r="103" spans="1:5">
      <c r="A103" t="str" cm="1">
        <f t="array" aca="1" ref="A103" ca="1">CELL("odkaz",Osvětlení!E24)</f>
        <v>'[12 - Kalkulačka_2024_09_30.xlsm]Osvětlení'!$E$24</v>
      </c>
      <c r="C103" t="str">
        <f t="shared" ca="1" si="20"/>
        <v>Osvětlení</v>
      </c>
      <c r="D103" t="str">
        <f t="shared" ca="1" si="21"/>
        <v>$E$24</v>
      </c>
      <c r="E103" s="403" t="s">
        <v>260</v>
      </c>
    </row>
    <row r="104" spans="1:5">
      <c r="A104" t="str" cm="1">
        <f t="array" aca="1" ref="A104" ca="1">CELL("odkaz",Osvětlení!E25)</f>
        <v>'[12 - Kalkulačka_2024_09_30.xlsm]Osvětlení'!$E$25</v>
      </c>
      <c r="C104" t="str">
        <f t="shared" ca="1" si="20"/>
        <v>Osvětlení</v>
      </c>
      <c r="D104" t="str">
        <f t="shared" ca="1" si="21"/>
        <v>$E$25</v>
      </c>
    </row>
    <row r="105" spans="1:5">
      <c r="A105" t="str" cm="1">
        <f t="array" aca="1" ref="A105" ca="1">CELL("odkaz",Osvětlení!E26)</f>
        <v>'[12 - Kalkulačka_2024_09_30.xlsm]Osvětlení'!$E$26</v>
      </c>
      <c r="C105" t="str">
        <f t="shared" ca="1" si="20"/>
        <v>Osvětlení</v>
      </c>
      <c r="D105" t="str">
        <f t="shared" ca="1" si="21"/>
        <v>$E$26</v>
      </c>
      <c r="E105" s="403">
        <v>500</v>
      </c>
    </row>
    <row r="106" spans="1:5">
      <c r="A106" t="str" cm="1">
        <f t="array" aca="1" ref="A106" ca="1">CELL("odkaz",Osvětlení!E28)</f>
        <v>'[12 - Kalkulačka_2024_09_30.xlsm]Osvětlení'!$E$28</v>
      </c>
      <c r="C106" t="str">
        <f t="shared" ca="1" si="20"/>
        <v>Osvětlení</v>
      </c>
      <c r="D106" t="str">
        <f t="shared" ca="1" si="21"/>
        <v>$E$28</v>
      </c>
      <c r="E106" s="403" t="s">
        <v>260</v>
      </c>
    </row>
    <row r="107" spans="1:5">
      <c r="A107" t="str" cm="1">
        <f t="array" aca="1" ref="A107" ca="1">CELL("odkaz",Osvětlení!E29)</f>
        <v>'[12 - Kalkulačka_2024_09_30.xlsm]Osvětlení'!$E$29</v>
      </c>
      <c r="C107" t="str">
        <f t="shared" ca="1" si="20"/>
        <v>Osvětlení</v>
      </c>
      <c r="D107" t="str">
        <f t="shared" ca="1" si="21"/>
        <v>$E$29</v>
      </c>
    </row>
    <row r="108" spans="1:5">
      <c r="A108" t="str" cm="1">
        <f t="array" aca="1" ref="A108" ca="1">CELL("odkaz",Osvětlení!E30)</f>
        <v>'[12 - Kalkulačka_2024_09_30.xlsm]Osvětlení'!$E$30</v>
      </c>
      <c r="C108" t="str">
        <f t="shared" ca="1" si="20"/>
        <v>Osvětlení</v>
      </c>
      <c r="D108" t="str">
        <f t="shared" ca="1" si="21"/>
        <v>$E$30</v>
      </c>
    </row>
    <row r="109" spans="1:5">
      <c r="A109" t="str" cm="1">
        <f t="array" aca="1" ref="A109" ca="1">CELL("odkaz",Osvětlení!E31)</f>
        <v>'[12 - Kalkulačka_2024_09_30.xlsm]Osvětlení'!$E$31</v>
      </c>
      <c r="C109" t="str">
        <f t="shared" ca="1" si="20"/>
        <v>Osvětlení</v>
      </c>
      <c r="D109" t="str">
        <f t="shared" ca="1" si="21"/>
        <v>$E$31</v>
      </c>
    </row>
    <row r="110" spans="1:5">
      <c r="A110" t="str" cm="1">
        <f t="array" aca="1" ref="A110" ca="1">CELL("odkaz",Osvětlení!E32)</f>
        <v>'[12 - Kalkulačka_2024_09_30.xlsm]Osvětlení'!$E$32</v>
      </c>
      <c r="C110" t="str">
        <f t="shared" ca="1" si="20"/>
        <v>Osvětlení</v>
      </c>
      <c r="D110" t="str">
        <f t="shared" ca="1" si="21"/>
        <v>$E$32</v>
      </c>
    </row>
    <row r="111" spans="1:5">
      <c r="A111" t="str" cm="1">
        <f t="array" aca="1" ref="A111" ca="1">CELL("odkaz",Osvětlení!E35)</f>
        <v>'[12 - Kalkulačka_2024_09_30.xlsm]Osvětlení'!$E$35</v>
      </c>
      <c r="C111" t="str">
        <f t="shared" ca="1" si="20"/>
        <v>Osvětlení</v>
      </c>
      <c r="D111" t="str">
        <f t="shared" ca="1" si="21"/>
        <v>$E$35</v>
      </c>
      <c r="E111" s="403" t="s">
        <v>260</v>
      </c>
    </row>
    <row r="112" spans="1:5">
      <c r="A112" t="str" cm="1">
        <f t="array" aca="1" ref="A112" ca="1">CELL("odkaz",Osvětlení!E36)</f>
        <v>'[12 - Kalkulačka_2024_09_30.xlsm]Osvětlení'!$E$36</v>
      </c>
      <c r="C112" t="str">
        <f t="shared" ca="1" si="20"/>
        <v>Osvětlení</v>
      </c>
      <c r="D112" t="str">
        <f t="shared" ca="1" si="21"/>
        <v>$E$36</v>
      </c>
    </row>
    <row r="113" spans="1:5">
      <c r="A113" t="str" cm="1">
        <f t="array" aca="1" ref="A113" ca="1">CELL("odkaz",Osvětlení!E37)</f>
        <v>'[12 - Kalkulačka_2024_09_30.xlsm]Osvětlení'!$E$37</v>
      </c>
      <c r="C113" t="str">
        <f t="shared" ca="1" si="20"/>
        <v>Osvětlení</v>
      </c>
      <c r="D113" t="str">
        <f t="shared" ca="1" si="21"/>
        <v>$E$37</v>
      </c>
      <c r="E113" s="403">
        <v>8</v>
      </c>
    </row>
    <row r="114" spans="1:5">
      <c r="A114" t="str" cm="1">
        <f t="array" aca="1" ref="A114" ca="1">CELL("odkaz",Osvětlení!E38)</f>
        <v>'[12 - Kalkulačka_2024_09_30.xlsm]Osvětlení'!$E$38</v>
      </c>
      <c r="C114" t="str">
        <f t="shared" ca="1" si="20"/>
        <v>Osvětlení</v>
      </c>
      <c r="D114" t="str">
        <f t="shared" ca="1" si="21"/>
        <v>$E$38</v>
      </c>
      <c r="E114" s="403">
        <v>220</v>
      </c>
    </row>
    <row r="115" spans="1:5">
      <c r="A115" t="str" cm="1">
        <f t="array" aca="1" ref="A115" ca="1">CELL("odkaz",Osvětlení!E40)</f>
        <v>'[12 - Kalkulačka_2024_09_30.xlsm]Osvětlení'!$E$40</v>
      </c>
      <c r="C115" t="str">
        <f t="shared" ca="1" si="20"/>
        <v>Osvětlení</v>
      </c>
      <c r="D115" t="str">
        <f t="shared" ca="1" si="21"/>
        <v>$E$40</v>
      </c>
    </row>
    <row r="116" spans="1:5">
      <c r="A116" t="str" cm="1">
        <f t="array" aca="1" ref="A116" ca="1">CELL("odkaz",Zdroj!E4)</f>
        <v>'[12 - Kalkulačka_2024_09_30.xlsm]Zdroj'!$E$4</v>
      </c>
      <c r="C116" t="str">
        <f t="shared" ca="1" si="20"/>
        <v>Zdroj</v>
      </c>
      <c r="D116" t="str">
        <f t="shared" ca="1" si="21"/>
        <v>$E$4</v>
      </c>
      <c r="E116" s="403" t="s">
        <v>184</v>
      </c>
    </row>
    <row r="117" spans="1:5">
      <c r="A117" t="str" cm="1">
        <f t="array" aca="1" ref="A117" ca="1">CELL("odkaz",Zdroj!E5)</f>
        <v>'[12 - Kalkulačka_2024_09_30.xlsm]Zdroj'!$E$5</v>
      </c>
      <c r="C117" t="str">
        <f t="shared" ca="1" si="20"/>
        <v>Zdroj</v>
      </c>
      <c r="D117" t="str">
        <f t="shared" ca="1" si="21"/>
        <v>$E$5</v>
      </c>
      <c r="E117" s="403" t="s">
        <v>146</v>
      </c>
    </row>
    <row r="118" spans="1:5">
      <c r="A118" t="str" cm="1">
        <f t="array" aca="1" ref="A118" ca="1">CELL("odkaz",Zdroj!E6)</f>
        <v>'[12 - Kalkulačka_2024_09_30.xlsm]Zdroj'!$E$6</v>
      </c>
      <c r="C118" t="str">
        <f t="shared" ca="1" si="20"/>
        <v>Zdroj</v>
      </c>
      <c r="D118" t="str">
        <f t="shared" ca="1" si="21"/>
        <v>$E$6</v>
      </c>
    </row>
    <row r="119" spans="1:5">
      <c r="A119" t="str" cm="1">
        <f t="array" aca="1" ref="A119" ca="1">CELL("odkaz",Zdroj!E7)</f>
        <v>'[12 - Kalkulačka_2024_09_30.xlsm]Zdroj'!$E$7</v>
      </c>
      <c r="C119" t="str">
        <f t="shared" ca="1" si="20"/>
        <v>Zdroj</v>
      </c>
      <c r="D119" t="str">
        <f t="shared" ca="1" si="21"/>
        <v>$E$7</v>
      </c>
    </row>
    <row r="120" spans="1:5">
      <c r="A120" t="str" cm="1">
        <f t="array" aca="1" ref="A120" ca="1">CELL("odkaz",Zdroj!E8)</f>
        <v>'[12 - Kalkulačka_2024_09_30.xlsm]Zdroj'!$E$8</v>
      </c>
      <c r="C120" t="str">
        <f t="shared" ca="1" si="20"/>
        <v>Zdroj</v>
      </c>
      <c r="D120" t="str">
        <f t="shared" ca="1" si="21"/>
        <v>$E$8</v>
      </c>
      <c r="E120" s="403">
        <v>10000</v>
      </c>
    </row>
    <row r="121" spans="1:5">
      <c r="A121" t="str" cm="1">
        <f t="array" aca="1" ref="A121" ca="1">CELL("odkaz",Zdroj!E9)</f>
        <v>'[12 - Kalkulačka_2024_09_30.xlsm]Zdroj'!$E$9</v>
      </c>
      <c r="C121" t="str">
        <f t="shared" ca="1" si="20"/>
        <v>Zdroj</v>
      </c>
      <c r="D121" t="str">
        <f t="shared" ca="1" si="21"/>
        <v>$E$9</v>
      </c>
      <c r="E121" s="403" t="s">
        <v>260</v>
      </c>
    </row>
    <row r="122" spans="1:5">
      <c r="A122" t="str" cm="1">
        <f t="array" aca="1" ref="A122" ca="1">CELL("odkaz",Zdroj!E10)</f>
        <v>'[12 - Kalkulačka_2024_09_30.xlsm]Zdroj'!$E$10</v>
      </c>
      <c r="C122" t="str">
        <f t="shared" ca="1" si="20"/>
        <v>Zdroj</v>
      </c>
      <c r="D122" t="str">
        <f t="shared" ca="1" si="21"/>
        <v>$E$10</v>
      </c>
    </row>
    <row r="123" spans="1:5">
      <c r="A123" t="str" cm="1">
        <f t="array" aca="1" ref="A123" ca="1">CELL("odkaz",Zdroj!E11)</f>
        <v>'[12 - Kalkulačka_2024_09_30.xlsm]Zdroj'!$E$11</v>
      </c>
      <c r="C123" t="str">
        <f t="shared" ca="1" si="20"/>
        <v>Zdroj</v>
      </c>
      <c r="D123" t="str">
        <f t="shared" ca="1" si="21"/>
        <v>$E$11</v>
      </c>
    </row>
    <row r="124" spans="1:5">
      <c r="A124" t="str" cm="1">
        <f t="array" aca="1" ref="A124" ca="1">CELL("odkaz",Zdroj!E12)</f>
        <v>'[12 - Kalkulačka_2024_09_30.xlsm]Zdroj'!$E$12</v>
      </c>
      <c r="C124" t="str">
        <f t="shared" ca="1" si="20"/>
        <v>Zdroj</v>
      </c>
      <c r="D124" t="str">
        <f t="shared" ca="1" si="21"/>
        <v>$E$12</v>
      </c>
    </row>
    <row r="125" spans="1:5">
      <c r="A125" t="str" cm="1">
        <f t="array" aca="1" ref="A125" ca="1">CELL("odkaz",Zdroj!E13)</f>
        <v>'[12 - Kalkulačka_2024_09_30.xlsm]Zdroj'!$E$13</v>
      </c>
      <c r="C125" t="str">
        <f t="shared" ca="1" si="20"/>
        <v>Zdroj</v>
      </c>
      <c r="D125" t="str">
        <f t="shared" ca="1" si="21"/>
        <v>$E$13</v>
      </c>
      <c r="E125" s="403">
        <v>50</v>
      </c>
    </row>
    <row r="126" spans="1:5">
      <c r="A126" t="str" cm="1">
        <f t="array" aca="1" ref="A126" ca="1">CELL("odkaz",Zdroj!E16)</f>
        <v>'[12 - Kalkulačka_2024_09_30.xlsm]Zdroj'!$E$16</v>
      </c>
      <c r="C126" t="str">
        <f t="shared" ca="1" si="20"/>
        <v>Zdroj</v>
      </c>
      <c r="D126" t="str">
        <f t="shared" ca="1" si="21"/>
        <v>$E$16</v>
      </c>
      <c r="E126" s="403" t="s">
        <v>187</v>
      </c>
    </row>
    <row r="127" spans="1:5">
      <c r="A127" t="str" cm="1">
        <f t="array" aca="1" ref="A127" ca="1">CELL("odkaz",Zdroj!E17)</f>
        <v>'[12 - Kalkulačka_2024_09_30.xlsm]Zdroj'!$E$17</v>
      </c>
      <c r="C127" t="str">
        <f t="shared" ca="1" si="20"/>
        <v>Zdroj</v>
      </c>
      <c r="D127" t="str">
        <f t="shared" ca="1" si="21"/>
        <v>$E$17</v>
      </c>
    </row>
    <row r="128" spans="1:5">
      <c r="A128" t="str" cm="1">
        <f t="array" aca="1" ref="A128" ca="1">CELL("odkaz",Zdroj!E18)</f>
        <v>'[12 - Kalkulačka_2024_09_30.xlsm]Zdroj'!$E$18</v>
      </c>
      <c r="C128" t="str">
        <f t="shared" ca="1" si="20"/>
        <v>Zdroj</v>
      </c>
      <c r="D128" t="str">
        <f t="shared" ca="1" si="21"/>
        <v>$E$18</v>
      </c>
    </row>
    <row r="129" spans="1:5">
      <c r="A129" t="str" cm="1">
        <f t="array" aca="1" ref="A129" ca="1">CELL("odkaz",Zdroj!E19)</f>
        <v>'[12 - Kalkulačka_2024_09_30.xlsm]Zdroj'!$E$19</v>
      </c>
      <c r="C129" t="str">
        <f t="shared" ca="1" si="20"/>
        <v>Zdroj</v>
      </c>
      <c r="D129" t="str">
        <f t="shared" ca="1" si="21"/>
        <v>$E$19</v>
      </c>
      <c r="E129" s="403">
        <v>25</v>
      </c>
    </row>
    <row r="130" spans="1:5">
      <c r="A130" t="str" cm="1">
        <f t="array" aca="1" ref="A130" ca="1">CELL("odkaz",Zdroj!E20)</f>
        <v>'[12 - Kalkulačka_2024_09_30.xlsm]Zdroj'!$E$20</v>
      </c>
      <c r="C130" t="str">
        <f t="shared" ca="1" si="20"/>
        <v>Zdroj</v>
      </c>
      <c r="D130" t="str">
        <f t="shared" ca="1" si="21"/>
        <v>$E$20</v>
      </c>
      <c r="E130" s="403" t="s">
        <v>259</v>
      </c>
    </row>
    <row r="131" spans="1:5">
      <c r="A131" t="str" cm="1">
        <f t="array" aca="1" ref="A131" ca="1">CELL("odkaz",Zdroj!E21)</f>
        <v>'[12 - Kalkulačka_2024_09_30.xlsm]Zdroj'!$E$21</v>
      </c>
      <c r="C131" t="str">
        <f t="shared" ca="1" si="20"/>
        <v>Zdroj</v>
      </c>
      <c r="D131" t="str">
        <f t="shared" ca="1" si="21"/>
        <v>$E$21</v>
      </c>
      <c r="E131" s="403">
        <v>4</v>
      </c>
    </row>
    <row r="132" spans="1:5">
      <c r="A132" t="str" cm="1">
        <f t="array" aca="1" ref="A132" ca="1">CELL("odkaz",Zdroj!E24)</f>
        <v>'[12 - Kalkulačka_2024_09_30.xlsm]Zdroj'!$E$24</v>
      </c>
      <c r="C132" t="str">
        <f t="shared" ca="1" si="20"/>
        <v>Zdroj</v>
      </c>
      <c r="D132" t="str">
        <f t="shared" ca="1" si="21"/>
        <v>$E$24</v>
      </c>
    </row>
    <row r="133" spans="1:5">
      <c r="A133" t="str" cm="1">
        <f t="array" aca="1" ref="A133" ca="1">CELL("odkaz",FVE!E4)</f>
        <v>'[12 - Kalkulačka_2024_09_30.xlsm]FVE'!$E$4</v>
      </c>
      <c r="C133" t="str">
        <f t="shared" ca="1" si="20"/>
        <v>FVE</v>
      </c>
      <c r="D133" t="str">
        <f t="shared" ca="1" si="21"/>
        <v>$E$4</v>
      </c>
      <c r="E133" s="403">
        <v>20</v>
      </c>
    </row>
    <row r="134" spans="1:5">
      <c r="A134" t="str" cm="1">
        <f t="array" aca="1" ref="A134" ca="1">CELL("odkaz",FVE!E5)</f>
        <v>'[12 - Kalkulačka_2024_09_30.xlsm]FVE'!$E$5</v>
      </c>
      <c r="C134" t="str">
        <f t="shared" ref="C134:C137" ca="1" si="22">MID(SUBSTITUTE(A134,"'",""),FIND("]",SUBSTITUTE(A134,"'",""))+1,FIND("!",SUBSTITUTE(A134,"'",""))-FIND("]",SUBSTITUTE(A134,"'",""))-1)</f>
        <v>FVE</v>
      </c>
      <c r="D134" t="str">
        <f t="shared" ref="D134:D137" ca="1" si="23">MID(A134,SEARCH("$",A134),20)</f>
        <v>$E$5</v>
      </c>
      <c r="E134" s="403">
        <v>20000</v>
      </c>
    </row>
    <row r="135" spans="1:5">
      <c r="A135" t="str" cm="1">
        <f t="array" aca="1" ref="A135" ca="1">CELL("odkaz",FVE!E6)</f>
        <v>'[12 - Kalkulačka_2024_09_30.xlsm]FVE'!$E$6</v>
      </c>
      <c r="C135" t="str">
        <f t="shared" ca="1" si="22"/>
        <v>FVE</v>
      </c>
      <c r="D135" t="str">
        <f t="shared" ca="1" si="23"/>
        <v>$E$6</v>
      </c>
      <c r="E135" s="403" t="s">
        <v>259</v>
      </c>
    </row>
    <row r="136" spans="1:5">
      <c r="A136" t="str" cm="1">
        <f t="array" aca="1" ref="A136" ca="1">CELL("odkaz",FVE!E7)</f>
        <v>'[12 - Kalkulačka_2024_09_30.xlsm]FVE'!$E$7</v>
      </c>
      <c r="C136" t="str">
        <f t="shared" ca="1" si="22"/>
        <v>FVE</v>
      </c>
      <c r="D136" t="str">
        <f t="shared" ca="1" si="23"/>
        <v>$E$7</v>
      </c>
      <c r="E136" s="403">
        <v>30</v>
      </c>
    </row>
    <row r="137" spans="1:5">
      <c r="A137" t="str" cm="1">
        <f t="array" aca="1" ref="A137" ca="1">CELL("odkaz",FVE!E8)</f>
        <v>'[12 - Kalkulačka_2024_09_30.xlsm]FVE'!$E$8</v>
      </c>
      <c r="C137" t="str">
        <f t="shared" ca="1" si="22"/>
        <v>FVE</v>
      </c>
      <c r="D137" t="str">
        <f t="shared" ca="1" si="23"/>
        <v>$E$8</v>
      </c>
      <c r="E137" s="403">
        <v>30000</v>
      </c>
    </row>
    <row r="138" spans="1:5">
      <c r="A138" t="str" cm="1">
        <f t="array" aca="1" ref="A138" ca="1">CELL("odkaz",Protokol!F18)</f>
        <v>'[12 - Kalkulačka_2024_09_30.xlsm]Protokol'!$F$18</v>
      </c>
      <c r="C138" t="str">
        <f t="shared" ref="C138:C201" ca="1" si="24">MID(SUBSTITUTE(A138,"'",""),FIND("]",SUBSTITUTE(A138,"'",""))+1,FIND("!",SUBSTITUTE(A138,"'",""))-FIND("]",SUBSTITUTE(A138,"'",""))-1)</f>
        <v>Protokol</v>
      </c>
      <c r="D138" t="str">
        <f t="shared" ref="D138:D201" ca="1" si="25">MID(A138,SEARCH("$",A138),20)</f>
        <v>$F$18</v>
      </c>
      <c r="E138" s="403" t="s">
        <v>1206</v>
      </c>
    </row>
    <row r="139" spans="1:5">
      <c r="A139" t="str" cm="1">
        <f t="array" aca="1" ref="A139" ca="1">CELL("odkaz",Protokol!F19)</f>
        <v>'[12 - Kalkulačka_2024_09_30.xlsm]Protokol'!$F$19</v>
      </c>
      <c r="C139" t="str">
        <f t="shared" ca="1" si="24"/>
        <v>Protokol</v>
      </c>
      <c r="D139" t="str">
        <f t="shared" ca="1" si="25"/>
        <v>$F$19</v>
      </c>
      <c r="E139" s="403" t="s">
        <v>1206</v>
      </c>
    </row>
    <row r="140" spans="1:5">
      <c r="A140" t="str" cm="1">
        <f t="array" aca="1" ref="A140" ca="1">CELL("odkaz",Protokol!F20)</f>
        <v>'[12 - Kalkulačka_2024_09_30.xlsm]Protokol'!$F$20</v>
      </c>
      <c r="C140" t="str">
        <f t="shared" ca="1" si="24"/>
        <v>Protokol</v>
      </c>
      <c r="D140" t="str">
        <f t="shared" ca="1" si="25"/>
        <v>$F$20</v>
      </c>
    </row>
    <row r="141" spans="1:5">
      <c r="A141" t="str" cm="1">
        <f t="array" aca="1" ref="A141" ca="1">CELL("odkaz",Protokol!F21)</f>
        <v>'[12 - Kalkulačka_2024_09_30.xlsm]Protokol'!$F$21</v>
      </c>
      <c r="C141" t="str">
        <f t="shared" ca="1" si="24"/>
        <v>Protokol</v>
      </c>
      <c r="D141" t="str">
        <f t="shared" ca="1" si="25"/>
        <v>$F$21</v>
      </c>
    </row>
    <row r="142" spans="1:5">
      <c r="A142" t="str" cm="1">
        <f t="array" aca="1" ref="A142" ca="1">CELL("odkaz",Protokol!F24)</f>
        <v>'[12 - Kalkulačka_2024_09_30.xlsm]Protokol'!$F$24</v>
      </c>
      <c r="C142" t="str">
        <f t="shared" ca="1" si="24"/>
        <v>Protokol</v>
      </c>
      <c r="D142" t="str">
        <f t="shared" ca="1" si="25"/>
        <v>$F$24</v>
      </c>
    </row>
    <row r="143" spans="1:5">
      <c r="A143" t="str" cm="1">
        <f t="array" aca="1" ref="A143" ca="1">CELL("odkaz",Protokol!F25)</f>
        <v>'[12 - Kalkulačka_2024_09_30.xlsm]Protokol'!$F$25</v>
      </c>
      <c r="C143" t="str">
        <f t="shared" ca="1" si="24"/>
        <v>Protokol</v>
      </c>
      <c r="D143" t="str">
        <f t="shared" ca="1" si="25"/>
        <v>$F$25</v>
      </c>
    </row>
    <row r="144" spans="1:5">
      <c r="A144" t="str" cm="1">
        <f t="array" aca="1" ref="A144" ca="1">CELL("odkaz",Protokol!F26)</f>
        <v>'[12 - Kalkulačka_2024_09_30.xlsm]Protokol'!$F$26</v>
      </c>
      <c r="C144" t="str">
        <f t="shared" ca="1" si="24"/>
        <v>Protokol</v>
      </c>
      <c r="D144" t="str">
        <f t="shared" ca="1" si="25"/>
        <v>$F$26</v>
      </c>
      <c r="E144" s="403" t="s">
        <v>1206</v>
      </c>
    </row>
    <row r="145" spans="1:5">
      <c r="A145" t="str" cm="1">
        <f t="array" aca="1" ref="A145" ca="1">CELL("odkaz",Protokol!F28)</f>
        <v>'[12 - Kalkulačka_2024_09_30.xlsm]Protokol'!$F$28</v>
      </c>
      <c r="C145" t="str">
        <f t="shared" ca="1" si="24"/>
        <v>Protokol</v>
      </c>
      <c r="D145" t="str">
        <f t="shared" ca="1" si="25"/>
        <v>$F$28</v>
      </c>
    </row>
    <row r="146" spans="1:5">
      <c r="A146" t="str" cm="1">
        <f t="array" aca="1" ref="A146" ca="1">CELL("odkaz",Protokol!F29)</f>
        <v>'[12 - Kalkulačka_2024_09_30.xlsm]Protokol'!$F$29</v>
      </c>
      <c r="C146" t="str">
        <f t="shared" ca="1" si="24"/>
        <v>Protokol</v>
      </c>
      <c r="D146" t="str">
        <f t="shared" ca="1" si="25"/>
        <v>$F$29</v>
      </c>
    </row>
    <row r="147" spans="1:5">
      <c r="A147" t="str" cm="1">
        <f t="array" aca="1" ref="A147" ca="1">CELL("odkaz",Protokol!F30)</f>
        <v>'[12 - Kalkulačka_2024_09_30.xlsm]Protokol'!$F$30</v>
      </c>
      <c r="C147" t="str">
        <f t="shared" ca="1" si="24"/>
        <v>Protokol</v>
      </c>
      <c r="D147" t="str">
        <f t="shared" ca="1" si="25"/>
        <v>$F$30</v>
      </c>
      <c r="E147" s="403" t="s">
        <v>1206</v>
      </c>
    </row>
    <row r="148" spans="1:5">
      <c r="A148" t="str" cm="1">
        <f t="array" aca="1" ref="A148" ca="1">CELL("odkaz",Protokol!F31)</f>
        <v>'[12 - Kalkulačka_2024_09_30.xlsm]Protokol'!$F$31</v>
      </c>
      <c r="C148" t="str">
        <f t="shared" ca="1" si="24"/>
        <v>Protokol</v>
      </c>
      <c r="D148" t="str">
        <f t="shared" ca="1" si="25"/>
        <v>$F$31</v>
      </c>
    </row>
    <row r="149" spans="1:5">
      <c r="A149" t="str" cm="1">
        <f t="array" aca="1" ref="A149" ca="1">CELL("odkaz",Protokol!F32)</f>
        <v>'[12 - Kalkulačka_2024_09_30.xlsm]Protokol'!$F$32</v>
      </c>
      <c r="C149" t="str">
        <f t="shared" ca="1" si="24"/>
        <v>Protokol</v>
      </c>
      <c r="D149" t="str">
        <f t="shared" ca="1" si="25"/>
        <v>$F$32</v>
      </c>
    </row>
    <row r="150" spans="1:5">
      <c r="A150" t="str" cm="1">
        <f t="array" aca="1" ref="A150" ca="1">CELL("odkaz",Protokol!F33)</f>
        <v>'[12 - Kalkulačka_2024_09_30.xlsm]Protokol'!$F$33</v>
      </c>
      <c r="C150" t="str">
        <f t="shared" ca="1" si="24"/>
        <v>Protokol</v>
      </c>
      <c r="D150" t="str">
        <f t="shared" ca="1" si="25"/>
        <v>$F$33</v>
      </c>
      <c r="E150" s="403" t="s">
        <v>1206</v>
      </c>
    </row>
    <row r="151" spans="1:5">
      <c r="A151" t="str" cm="1">
        <f t="array" aca="1" ref="A151" ca="1">CELL("odkaz",Protokol!F34)</f>
        <v>'[12 - Kalkulačka_2024_09_30.xlsm]Protokol'!$F$34</v>
      </c>
      <c r="C151" t="str">
        <f t="shared" ca="1" si="24"/>
        <v>Protokol</v>
      </c>
      <c r="D151" t="str">
        <f t="shared" ca="1" si="25"/>
        <v>$F$34</v>
      </c>
      <c r="E151" s="403" t="s">
        <v>1206</v>
      </c>
    </row>
    <row r="152" spans="1:5">
      <c r="A152" t="str" cm="1">
        <f t="array" aca="1" ref="A152" ca="1">CELL("odkaz",Protokol!F35)</f>
        <v>'[12 - Kalkulačka_2024_09_30.xlsm]Protokol'!$F$35</v>
      </c>
      <c r="C152" t="str">
        <f t="shared" ca="1" si="24"/>
        <v>Protokol</v>
      </c>
      <c r="D152" t="str">
        <f t="shared" ca="1" si="25"/>
        <v>$F$35</v>
      </c>
    </row>
    <row r="153" spans="1:5">
      <c r="A153" t="str" cm="1">
        <f t="array" aca="1" ref="A153" ca="1">CELL("odkaz",Protokol!F36)</f>
        <v>'[12 - Kalkulačka_2024_09_30.xlsm]Protokol'!$F$36</v>
      </c>
      <c r="C153" t="str">
        <f t="shared" ca="1" si="24"/>
        <v>Protokol</v>
      </c>
      <c r="D153" t="str">
        <f t="shared" ca="1" si="25"/>
        <v>$F$36</v>
      </c>
      <c r="E153" s="403" t="s">
        <v>1206</v>
      </c>
    </row>
    <row r="154" spans="1:5">
      <c r="A154" t="str" cm="1">
        <f t="array" aca="1" ref="A154" ca="1">CELL("odkaz",Protokol!F39)</f>
        <v>'[12 - Kalkulačka_2024_09_30.xlsm]Protokol'!$F$39</v>
      </c>
      <c r="C154" t="str">
        <f t="shared" ca="1" si="24"/>
        <v>Protokol</v>
      </c>
      <c r="D154" t="str">
        <f t="shared" ca="1" si="25"/>
        <v>$F$39</v>
      </c>
    </row>
    <row r="155" spans="1:5">
      <c r="A155" t="str" cm="1">
        <f t="array" aca="1" ref="A155" ca="1">CELL("odkaz",Protokol!F40)</f>
        <v>'[12 - Kalkulačka_2024_09_30.xlsm]Protokol'!$F$40</v>
      </c>
      <c r="C155" t="str">
        <f t="shared" ca="1" si="24"/>
        <v>Protokol</v>
      </c>
      <c r="D155" t="str">
        <f t="shared" ca="1" si="25"/>
        <v>$F$40</v>
      </c>
    </row>
    <row r="156" spans="1:5">
      <c r="A156" t="str" cm="1">
        <f t="array" aca="1" ref="A156" ca="1">CELL("odkaz",Protokol!F41)</f>
        <v>'[12 - Kalkulačka_2024_09_30.xlsm]Protokol'!$F$41</v>
      </c>
      <c r="C156" t="str">
        <f t="shared" ca="1" si="24"/>
        <v>Protokol</v>
      </c>
      <c r="D156" t="str">
        <f t="shared" ca="1" si="25"/>
        <v>$F$41</v>
      </c>
    </row>
    <row r="157" spans="1:5">
      <c r="A157" t="str" cm="1">
        <f t="array" aca="1" ref="A157" ca="1">CELL("odkaz",Protokol!F42)</f>
        <v>'[12 - Kalkulačka_2024_09_30.xlsm]Protokol'!$F$42</v>
      </c>
      <c r="C157" t="str">
        <f t="shared" ca="1" si="24"/>
        <v>Protokol</v>
      </c>
      <c r="D157" t="str">
        <f t="shared" ca="1" si="25"/>
        <v>$F$42</v>
      </c>
    </row>
    <row r="158" spans="1:5">
      <c r="A158" t="str" cm="1">
        <f t="array" aca="1" ref="A158" ca="1">CELL("odkaz",Protokol!F43)</f>
        <v>'[12 - Kalkulačka_2024_09_30.xlsm]Protokol'!$F$43</v>
      </c>
      <c r="C158" t="str">
        <f t="shared" ca="1" si="24"/>
        <v>Protokol</v>
      </c>
      <c r="D158" t="str">
        <f t="shared" ca="1" si="25"/>
        <v>$F$43</v>
      </c>
    </row>
    <row r="159" spans="1:5">
      <c r="A159" t="str" cm="1">
        <f t="array" aca="1" ref="A159" ca="1">CELL("odkaz",Protokol!F44)</f>
        <v>'[12 - Kalkulačka_2024_09_30.xlsm]Protokol'!$F$44</v>
      </c>
      <c r="C159" t="str">
        <f t="shared" ca="1" si="24"/>
        <v>Protokol</v>
      </c>
      <c r="D159" t="str">
        <f t="shared" ca="1" si="25"/>
        <v>$F$44</v>
      </c>
      <c r="E159" s="403" t="s">
        <v>1206</v>
      </c>
    </row>
    <row r="160" spans="1:5">
      <c r="A160" t="str" cm="1">
        <f t="array" aca="1" ref="A160" ca="1">CELL("odkaz",Protokol!F45)</f>
        <v>'[12 - Kalkulačka_2024_09_30.xlsm]Protokol'!$F$45</v>
      </c>
      <c r="C160" t="str">
        <f t="shared" ca="1" si="24"/>
        <v>Protokol</v>
      </c>
      <c r="D160" t="str">
        <f t="shared" ca="1" si="25"/>
        <v>$F$45</v>
      </c>
    </row>
    <row r="161" spans="1:5">
      <c r="A161" t="str" cm="1">
        <f t="array" aca="1" ref="A161" ca="1">CELL("odkaz",Protokol!F49)</f>
        <v>'[12 - Kalkulačka_2024_09_30.xlsm]Protokol'!$F$49</v>
      </c>
      <c r="C161" t="str">
        <f t="shared" ca="1" si="24"/>
        <v>Protokol</v>
      </c>
      <c r="D161" t="str">
        <f t="shared" ca="1" si="25"/>
        <v>$F$49</v>
      </c>
      <c r="E161" s="403" t="s">
        <v>1206</v>
      </c>
    </row>
    <row r="162" spans="1:5">
      <c r="A162" t="str" cm="1">
        <f t="array" aca="1" ref="A162" ca="1">CELL("odkaz",Protokol!F50)</f>
        <v>'[12 - Kalkulačka_2024_09_30.xlsm]Protokol'!$F$50</v>
      </c>
      <c r="C162" t="str">
        <f t="shared" ca="1" si="24"/>
        <v>Protokol</v>
      </c>
      <c r="D162" t="str">
        <f t="shared" ca="1" si="25"/>
        <v>$F$50</v>
      </c>
      <c r="E162" s="403" t="s">
        <v>1206</v>
      </c>
    </row>
    <row r="163" spans="1:5">
      <c r="A163" t="str" cm="1">
        <f t="array" aca="1" ref="A163" ca="1">CELL("odkaz",Protokol!F51)</f>
        <v>'[12 - Kalkulačka_2024_09_30.xlsm]Protokol'!$F$51</v>
      </c>
      <c r="C163" t="str">
        <f t="shared" ca="1" si="24"/>
        <v>Protokol</v>
      </c>
      <c r="D163" t="str">
        <f t="shared" ca="1" si="25"/>
        <v>$F$51</v>
      </c>
    </row>
    <row r="164" spans="1:5">
      <c r="A164" t="str" cm="1">
        <f t="array" aca="1" ref="A164" ca="1">CELL("odkaz",Protokol!F52)</f>
        <v>'[12 - Kalkulačka_2024_09_30.xlsm]Protokol'!$F$52</v>
      </c>
      <c r="C164" t="str">
        <f t="shared" ca="1" si="24"/>
        <v>Protokol</v>
      </c>
      <c r="D164" t="str">
        <f t="shared" ca="1" si="25"/>
        <v>$F$52</v>
      </c>
    </row>
    <row r="165" spans="1:5">
      <c r="A165" t="str" cm="1">
        <f t="array" aca="1" ref="A165" ca="1">CELL("odkaz",Protokol!F53)</f>
        <v>'[12 - Kalkulačka_2024_09_30.xlsm]Protokol'!$F$53</v>
      </c>
      <c r="C165" t="str">
        <f t="shared" ca="1" si="24"/>
        <v>Protokol</v>
      </c>
      <c r="D165" t="str">
        <f t="shared" ca="1" si="25"/>
        <v>$F$53</v>
      </c>
    </row>
    <row r="166" spans="1:5">
      <c r="A166" t="str" cm="1">
        <f t="array" aca="1" ref="A166" ca="1">CELL("odkaz",Protokol!G18)</f>
        <v>'[12 - Kalkulačka_2024_09_30.xlsm]Protokol'!$G$18</v>
      </c>
      <c r="C166" t="str">
        <f t="shared" ca="1" si="24"/>
        <v>Protokol</v>
      </c>
      <c r="D166" t="str">
        <f t="shared" ca="1" si="25"/>
        <v>$G$18</v>
      </c>
    </row>
    <row r="167" spans="1:5">
      <c r="A167" t="str" cm="1">
        <f t="array" aca="1" ref="A167" ca="1">CELL("odkaz",Protokol!G19)</f>
        <v>'[12 - Kalkulačka_2024_09_30.xlsm]Protokol'!$G$19</v>
      </c>
      <c r="C167" t="str">
        <f t="shared" ca="1" si="24"/>
        <v>Protokol</v>
      </c>
      <c r="D167" t="str">
        <f t="shared" ca="1" si="25"/>
        <v>$G$19</v>
      </c>
    </row>
    <row r="168" spans="1:5">
      <c r="A168" t="str" cm="1">
        <f t="array" aca="1" ref="A168" ca="1">CELL("odkaz",Protokol!G20)</f>
        <v>'[12 - Kalkulačka_2024_09_30.xlsm]Protokol'!$G$20</v>
      </c>
      <c r="C168" t="str">
        <f t="shared" ca="1" si="24"/>
        <v>Protokol</v>
      </c>
      <c r="D168" t="str">
        <f t="shared" ca="1" si="25"/>
        <v>$G$20</v>
      </c>
    </row>
    <row r="169" spans="1:5">
      <c r="A169" t="str" cm="1">
        <f t="array" aca="1" ref="A169" ca="1">CELL("odkaz",Protokol!G21)</f>
        <v>'[12 - Kalkulačka_2024_09_30.xlsm]Protokol'!$G$21</v>
      </c>
      <c r="C169" t="str">
        <f t="shared" ca="1" si="24"/>
        <v>Protokol</v>
      </c>
      <c r="D169" t="str">
        <f t="shared" ca="1" si="25"/>
        <v>$G$21</v>
      </c>
    </row>
    <row r="170" spans="1:5">
      <c r="A170" t="str" cm="1">
        <f t="array" aca="1" ref="A170" ca="1">CELL("odkaz",Protokol!G24)</f>
        <v>'[12 - Kalkulačka_2024_09_30.xlsm]Protokol'!$G$24</v>
      </c>
      <c r="C170" t="str">
        <f t="shared" ca="1" si="24"/>
        <v>Protokol</v>
      </c>
      <c r="D170" t="str">
        <f t="shared" ca="1" si="25"/>
        <v>$G$24</v>
      </c>
    </row>
    <row r="171" spans="1:5">
      <c r="A171" t="str" cm="1">
        <f t="array" aca="1" ref="A171" ca="1">CELL("odkaz",Protokol!G25)</f>
        <v>'[12 - Kalkulačka_2024_09_30.xlsm]Protokol'!$G$25</v>
      </c>
      <c r="C171" t="str">
        <f t="shared" ca="1" si="24"/>
        <v>Protokol</v>
      </c>
      <c r="D171" t="str">
        <f t="shared" ca="1" si="25"/>
        <v>$G$25</v>
      </c>
    </row>
    <row r="172" spans="1:5">
      <c r="A172" t="str" cm="1">
        <f t="array" aca="1" ref="A172" ca="1">CELL("odkaz",Protokol!G26)</f>
        <v>'[12 - Kalkulačka_2024_09_30.xlsm]Protokol'!$G$26</v>
      </c>
      <c r="C172" t="str">
        <f t="shared" ca="1" si="24"/>
        <v>Protokol</v>
      </c>
      <c r="D172" t="str">
        <f t="shared" ca="1" si="25"/>
        <v>$G$26</v>
      </c>
    </row>
    <row r="173" spans="1:5">
      <c r="A173" t="str" cm="1">
        <f t="array" aca="1" ref="A173" ca="1">CELL("odkaz",Protokol!G28)</f>
        <v>'[12 - Kalkulačka_2024_09_30.xlsm]Protokol'!$G$28</v>
      </c>
      <c r="C173" t="str">
        <f t="shared" ca="1" si="24"/>
        <v>Protokol</v>
      </c>
      <c r="D173" t="str">
        <f t="shared" ca="1" si="25"/>
        <v>$G$28</v>
      </c>
    </row>
    <row r="174" spans="1:5">
      <c r="A174" t="str" cm="1">
        <f t="array" aca="1" ref="A174" ca="1">CELL("odkaz",Protokol!G29)</f>
        <v>'[12 - Kalkulačka_2024_09_30.xlsm]Protokol'!$G$29</v>
      </c>
      <c r="C174" t="str">
        <f t="shared" ca="1" si="24"/>
        <v>Protokol</v>
      </c>
      <c r="D174" t="str">
        <f t="shared" ca="1" si="25"/>
        <v>$G$29</v>
      </c>
    </row>
    <row r="175" spans="1:5">
      <c r="A175" t="str" cm="1">
        <f t="array" aca="1" ref="A175" ca="1">CELL("odkaz",Protokol!G30)</f>
        <v>'[12 - Kalkulačka_2024_09_30.xlsm]Protokol'!$G$30</v>
      </c>
      <c r="C175" t="str">
        <f t="shared" ca="1" si="24"/>
        <v>Protokol</v>
      </c>
      <c r="D175" t="str">
        <f t="shared" ca="1" si="25"/>
        <v>$G$30</v>
      </c>
    </row>
    <row r="176" spans="1:5">
      <c r="A176" t="str" cm="1">
        <f t="array" aca="1" ref="A176" ca="1">CELL("odkaz",Protokol!G31)</f>
        <v>'[12 - Kalkulačka_2024_09_30.xlsm]Protokol'!$G$31</v>
      </c>
      <c r="C176" t="str">
        <f t="shared" ca="1" si="24"/>
        <v>Protokol</v>
      </c>
      <c r="D176" t="str">
        <f t="shared" ca="1" si="25"/>
        <v>$G$31</v>
      </c>
    </row>
    <row r="177" spans="1:4">
      <c r="A177" t="str" cm="1">
        <f t="array" aca="1" ref="A177" ca="1">CELL("odkaz",Protokol!G32)</f>
        <v>'[12 - Kalkulačka_2024_09_30.xlsm]Protokol'!$G$32</v>
      </c>
      <c r="C177" t="str">
        <f t="shared" ca="1" si="24"/>
        <v>Protokol</v>
      </c>
      <c r="D177" t="str">
        <f t="shared" ca="1" si="25"/>
        <v>$G$32</v>
      </c>
    </row>
    <row r="178" spans="1:4">
      <c r="A178" t="str" cm="1">
        <f t="array" aca="1" ref="A178" ca="1">CELL("odkaz",Protokol!G33)</f>
        <v>'[12 - Kalkulačka_2024_09_30.xlsm]Protokol'!$G$33</v>
      </c>
      <c r="C178" t="str">
        <f t="shared" ca="1" si="24"/>
        <v>Protokol</v>
      </c>
      <c r="D178" t="str">
        <f t="shared" ca="1" si="25"/>
        <v>$G$33</v>
      </c>
    </row>
    <row r="179" spans="1:4">
      <c r="A179" t="str" cm="1">
        <f t="array" aca="1" ref="A179" ca="1">CELL("odkaz",Protokol!G34)</f>
        <v>'[12 - Kalkulačka_2024_09_30.xlsm]Protokol'!$G$34</v>
      </c>
      <c r="C179" t="str">
        <f t="shared" ca="1" si="24"/>
        <v>Protokol</v>
      </c>
      <c r="D179" t="str">
        <f t="shared" ca="1" si="25"/>
        <v>$G$34</v>
      </c>
    </row>
    <row r="180" spans="1:4">
      <c r="A180" t="str" cm="1">
        <f t="array" aca="1" ref="A180" ca="1">CELL("odkaz",Protokol!G35)</f>
        <v>'[12 - Kalkulačka_2024_09_30.xlsm]Protokol'!$G$35</v>
      </c>
      <c r="C180" t="str">
        <f t="shared" ca="1" si="24"/>
        <v>Protokol</v>
      </c>
      <c r="D180" t="str">
        <f t="shared" ca="1" si="25"/>
        <v>$G$35</v>
      </c>
    </row>
    <row r="181" spans="1:4">
      <c r="A181" t="str" cm="1">
        <f t="array" aca="1" ref="A181" ca="1">CELL("odkaz",Protokol!G36)</f>
        <v>'[12 - Kalkulačka_2024_09_30.xlsm]Protokol'!$G$36</v>
      </c>
      <c r="C181" t="str">
        <f t="shared" ca="1" si="24"/>
        <v>Protokol</v>
      </c>
      <c r="D181" t="str">
        <f t="shared" ca="1" si="25"/>
        <v>$G$36</v>
      </c>
    </row>
    <row r="182" spans="1:4">
      <c r="A182" t="str" cm="1">
        <f t="array" aca="1" ref="A182" ca="1">CELL("odkaz",Protokol!G39)</f>
        <v>'[12 - Kalkulačka_2024_09_30.xlsm]Protokol'!$G$39</v>
      </c>
      <c r="C182" t="str">
        <f t="shared" ca="1" si="24"/>
        <v>Protokol</v>
      </c>
      <c r="D182" t="str">
        <f t="shared" ca="1" si="25"/>
        <v>$G$39</v>
      </c>
    </row>
    <row r="183" spans="1:4">
      <c r="A183" t="str" cm="1">
        <f t="array" aca="1" ref="A183" ca="1">CELL("odkaz",Protokol!G40)</f>
        <v>'[12 - Kalkulačka_2024_09_30.xlsm]Protokol'!$G$40</v>
      </c>
      <c r="C183" t="str">
        <f t="shared" ca="1" si="24"/>
        <v>Protokol</v>
      </c>
      <c r="D183" t="str">
        <f t="shared" ca="1" si="25"/>
        <v>$G$40</v>
      </c>
    </row>
    <row r="184" spans="1:4">
      <c r="A184" t="str" cm="1">
        <f t="array" aca="1" ref="A184" ca="1">CELL("odkaz",Protokol!G41)</f>
        <v>'[12 - Kalkulačka_2024_09_30.xlsm]Protokol'!$G$41</v>
      </c>
      <c r="C184" t="str">
        <f t="shared" ca="1" si="24"/>
        <v>Protokol</v>
      </c>
      <c r="D184" t="str">
        <f t="shared" ca="1" si="25"/>
        <v>$G$41</v>
      </c>
    </row>
    <row r="185" spans="1:4">
      <c r="A185" t="str" cm="1">
        <f t="array" aca="1" ref="A185" ca="1">CELL("odkaz",Protokol!G42)</f>
        <v>'[12 - Kalkulačka_2024_09_30.xlsm]Protokol'!$G$42</v>
      </c>
      <c r="C185" t="str">
        <f t="shared" ca="1" si="24"/>
        <v>Protokol</v>
      </c>
      <c r="D185" t="str">
        <f t="shared" ca="1" si="25"/>
        <v>$G$42</v>
      </c>
    </row>
    <row r="186" spans="1:4">
      <c r="A186" t="str" cm="1">
        <f t="array" aca="1" ref="A186" ca="1">CELL("odkaz",Protokol!G43)</f>
        <v>'[12 - Kalkulačka_2024_09_30.xlsm]Protokol'!$G$43</v>
      </c>
      <c r="C186" t="str">
        <f t="shared" ca="1" si="24"/>
        <v>Protokol</v>
      </c>
      <c r="D186" t="str">
        <f t="shared" ca="1" si="25"/>
        <v>$G$43</v>
      </c>
    </row>
    <row r="187" spans="1:4">
      <c r="A187" t="str" cm="1">
        <f t="array" aca="1" ref="A187" ca="1">CELL("odkaz",Protokol!G44)</f>
        <v>'[12 - Kalkulačka_2024_09_30.xlsm]Protokol'!$G$44</v>
      </c>
      <c r="C187" t="str">
        <f t="shared" ca="1" si="24"/>
        <v>Protokol</v>
      </c>
      <c r="D187" t="str">
        <f t="shared" ca="1" si="25"/>
        <v>$G$44</v>
      </c>
    </row>
    <row r="188" spans="1:4">
      <c r="A188" t="str" cm="1">
        <f t="array" aca="1" ref="A188" ca="1">CELL("odkaz",Protokol!G45)</f>
        <v>'[12 - Kalkulačka_2024_09_30.xlsm]Protokol'!$G$45</v>
      </c>
      <c r="C188" t="str">
        <f t="shared" ca="1" si="24"/>
        <v>Protokol</v>
      </c>
      <c r="D188" t="str">
        <f t="shared" ca="1" si="25"/>
        <v>$G$45</v>
      </c>
    </row>
    <row r="189" spans="1:4">
      <c r="A189" t="str" cm="1">
        <f t="array" aca="1" ref="A189" ca="1">CELL("odkaz",Protokol!G49)</f>
        <v>'[12 - Kalkulačka_2024_09_30.xlsm]Protokol'!$G$49</v>
      </c>
      <c r="C189" t="str">
        <f t="shared" ca="1" si="24"/>
        <v>Protokol</v>
      </c>
      <c r="D189" t="str">
        <f t="shared" ca="1" si="25"/>
        <v>$G$49</v>
      </c>
    </row>
    <row r="190" spans="1:4">
      <c r="A190" t="str" cm="1">
        <f t="array" aca="1" ref="A190" ca="1">CELL("odkaz",Protokol!G50)</f>
        <v>'[12 - Kalkulačka_2024_09_30.xlsm]Protokol'!$G$50</v>
      </c>
      <c r="C190" t="str">
        <f t="shared" ca="1" si="24"/>
        <v>Protokol</v>
      </c>
      <c r="D190" t="str">
        <f t="shared" ca="1" si="25"/>
        <v>$G$50</v>
      </c>
    </row>
    <row r="191" spans="1:4">
      <c r="A191" t="str" cm="1">
        <f t="array" aca="1" ref="A191" ca="1">CELL("odkaz",Protokol!G51)</f>
        <v>'[12 - Kalkulačka_2024_09_30.xlsm]Protokol'!$G$51</v>
      </c>
      <c r="C191" t="str">
        <f t="shared" ca="1" si="24"/>
        <v>Protokol</v>
      </c>
      <c r="D191" t="str">
        <f t="shared" ca="1" si="25"/>
        <v>$G$51</v>
      </c>
    </row>
    <row r="192" spans="1:4">
      <c r="A192" t="str" cm="1">
        <f t="array" aca="1" ref="A192" ca="1">CELL("odkaz",Protokol!G52)</f>
        <v>'[12 - Kalkulačka_2024_09_30.xlsm]Protokol'!$G$52</v>
      </c>
      <c r="C192" t="str">
        <f t="shared" ca="1" si="24"/>
        <v>Protokol</v>
      </c>
      <c r="D192" t="str">
        <f t="shared" ca="1" si="25"/>
        <v>$G$52</v>
      </c>
    </row>
    <row r="193" spans="1:5">
      <c r="A193" t="str" cm="1">
        <f t="array" aca="1" ref="A193" ca="1">CELL("odkaz",Protokol!G53)</f>
        <v>'[12 - Kalkulačka_2024_09_30.xlsm]Protokol'!$G$53</v>
      </c>
      <c r="C193" t="str">
        <f t="shared" ca="1" si="24"/>
        <v>Protokol</v>
      </c>
      <c r="D193" t="str">
        <f t="shared" ca="1" si="25"/>
        <v>$G$53</v>
      </c>
    </row>
    <row r="194" spans="1:5">
      <c r="A194" t="str" cm="1">
        <f t="array" aca="1" ref="A194" ca="1">CELL("odkaz",Protokol!H20)</f>
        <v>'[12 - Kalkulačka_2024_09_30.xlsm]Protokol'!$H$20</v>
      </c>
      <c r="C194" t="str">
        <f t="shared" ca="1" si="24"/>
        <v>Protokol</v>
      </c>
      <c r="D194" t="str">
        <f t="shared" ca="1" si="25"/>
        <v>$H$20</v>
      </c>
      <c r="E194" s="403" t="s">
        <v>1206</v>
      </c>
    </row>
    <row r="195" spans="1:5">
      <c r="A195" t="str" cm="1">
        <f t="array" aca="1" ref="A195" ca="1">CELL("odkaz",Protokol!H21)</f>
        <v>'[12 - Kalkulačka_2024_09_30.xlsm]Protokol'!$H$21</v>
      </c>
      <c r="C195" t="str">
        <f t="shared" ca="1" si="24"/>
        <v>Protokol</v>
      </c>
      <c r="D195" t="str">
        <f t="shared" ca="1" si="25"/>
        <v>$H$21</v>
      </c>
      <c r="E195" s="403" t="s">
        <v>1206</v>
      </c>
    </row>
    <row r="196" spans="1:5">
      <c r="A196" t="str" cm="1">
        <f t="array" aca="1" ref="A196" ca="1">CELL("odkaz",Protokol!H28)</f>
        <v>'[12 - Kalkulačka_2024_09_30.xlsm]Protokol'!$H$28</v>
      </c>
      <c r="C196" t="str">
        <f t="shared" ca="1" si="24"/>
        <v>Protokol</v>
      </c>
      <c r="D196" t="str">
        <f t="shared" ca="1" si="25"/>
        <v>$H$28</v>
      </c>
      <c r="E196" s="403" t="s">
        <v>1206</v>
      </c>
    </row>
    <row r="197" spans="1:5">
      <c r="A197" t="str" cm="1">
        <f t="array" aca="1" ref="A197" ca="1">CELL("odkaz",Protokol!H29)</f>
        <v>'[12 - Kalkulačka_2024_09_30.xlsm]Protokol'!$H$29</v>
      </c>
      <c r="C197" t="str">
        <f t="shared" ca="1" si="24"/>
        <v>Protokol</v>
      </c>
      <c r="D197" t="str">
        <f t="shared" ca="1" si="25"/>
        <v>$H$29</v>
      </c>
      <c r="E197" s="403" t="s">
        <v>1206</v>
      </c>
    </row>
    <row r="198" spans="1:5">
      <c r="A198" t="str" cm="1">
        <f t="array" aca="1" ref="A198" ca="1">CELL("odkaz",Protokol!H30)</f>
        <v>'[12 - Kalkulačka_2024_09_30.xlsm]Protokol'!$H$30</v>
      </c>
      <c r="C198" t="str">
        <f t="shared" ca="1" si="24"/>
        <v>Protokol</v>
      </c>
      <c r="D198" t="str">
        <f t="shared" ca="1" si="25"/>
        <v>$H$30</v>
      </c>
    </row>
    <row r="199" spans="1:5">
      <c r="A199" t="str" cm="1">
        <f t="array" aca="1" ref="A199" ca="1">CELL("odkaz",Protokol!H31)</f>
        <v>'[12 - Kalkulačka_2024_09_30.xlsm]Protokol'!$H$31</v>
      </c>
      <c r="C199" t="str">
        <f t="shared" ca="1" si="24"/>
        <v>Protokol</v>
      </c>
      <c r="D199" t="str">
        <f t="shared" ca="1" si="25"/>
        <v>$H$31</v>
      </c>
      <c r="E199" s="403" t="s">
        <v>1206</v>
      </c>
    </row>
    <row r="200" spans="1:5">
      <c r="A200" t="str" cm="1">
        <f t="array" aca="1" ref="A200" ca="1">CELL("odkaz",Protokol!H32)</f>
        <v>'[12 - Kalkulačka_2024_09_30.xlsm]Protokol'!$H$32</v>
      </c>
      <c r="C200" t="str">
        <f t="shared" ca="1" si="24"/>
        <v>Protokol</v>
      </c>
      <c r="D200" t="str">
        <f t="shared" ca="1" si="25"/>
        <v>$H$32</v>
      </c>
    </row>
    <row r="201" spans="1:5">
      <c r="A201" t="str" cm="1">
        <f t="array" aca="1" ref="A201" ca="1">CELL("odkaz",Protokol!H33)</f>
        <v>'[12 - Kalkulačka_2024_09_30.xlsm]Protokol'!$H$33</v>
      </c>
      <c r="C201" t="str">
        <f t="shared" ca="1" si="24"/>
        <v>Protokol</v>
      </c>
      <c r="D201" t="str">
        <f t="shared" ca="1" si="25"/>
        <v>$H$33</v>
      </c>
    </row>
    <row r="202" spans="1:5">
      <c r="A202" t="str" cm="1">
        <f t="array" aca="1" ref="A202" ca="1">CELL("odkaz",Protokol!H34)</f>
        <v>'[12 - Kalkulačka_2024_09_30.xlsm]Protokol'!$H$34</v>
      </c>
      <c r="C202" t="str">
        <f t="shared" ref="C202:C216" ca="1" si="26">MID(SUBSTITUTE(A202,"'",""),FIND("]",SUBSTITUTE(A202,"'",""))+1,FIND("!",SUBSTITUTE(A202,"'",""))-FIND("]",SUBSTITUTE(A202,"'",""))-1)</f>
        <v>Protokol</v>
      </c>
      <c r="D202" t="str">
        <f t="shared" ref="D202:D216" ca="1" si="27">MID(A202,SEARCH("$",A202),20)</f>
        <v>$H$34</v>
      </c>
    </row>
    <row r="203" spans="1:5">
      <c r="A203" t="str" cm="1">
        <f t="array" aca="1" ref="A203" ca="1">CELL("odkaz",Protokol!H35)</f>
        <v>'[12 - Kalkulačka_2024_09_30.xlsm]Protokol'!$H$35</v>
      </c>
      <c r="C203" t="str">
        <f t="shared" ca="1" si="26"/>
        <v>Protokol</v>
      </c>
      <c r="D203" t="str">
        <f t="shared" ca="1" si="27"/>
        <v>$H$35</v>
      </c>
      <c r="E203" s="403" t="s">
        <v>1206</v>
      </c>
    </row>
    <row r="204" spans="1:5">
      <c r="A204" t="str" cm="1">
        <f t="array" aca="1" ref="A204" ca="1">CELL("odkaz",Protokol!H36)</f>
        <v>'[12 - Kalkulačka_2024_09_30.xlsm]Protokol'!$H$36</v>
      </c>
      <c r="C204" t="str">
        <f t="shared" ca="1" si="26"/>
        <v>Protokol</v>
      </c>
      <c r="D204" t="str">
        <f t="shared" ca="1" si="27"/>
        <v>$H$36</v>
      </c>
    </row>
    <row r="205" spans="1:5">
      <c r="A205" t="str" cm="1">
        <f t="array" aca="1" ref="A205" ca="1">CELL("odkaz",Protokol!H39)</f>
        <v>'[12 - Kalkulačka_2024_09_30.xlsm]Protokol'!$H$39</v>
      </c>
      <c r="C205" t="str">
        <f t="shared" ca="1" si="26"/>
        <v>Protokol</v>
      </c>
      <c r="D205" t="str">
        <f t="shared" ca="1" si="27"/>
        <v>$H$39</v>
      </c>
      <c r="E205" s="403" t="s">
        <v>1206</v>
      </c>
    </row>
    <row r="206" spans="1:5">
      <c r="A206" t="str" cm="1">
        <f t="array" aca="1" ref="A206" ca="1">CELL("odkaz",Protokol!H40)</f>
        <v>'[12 - Kalkulačka_2024_09_30.xlsm]Protokol'!$H$40</v>
      </c>
      <c r="C206" t="str">
        <f t="shared" ca="1" si="26"/>
        <v>Protokol</v>
      </c>
      <c r="D206" t="str">
        <f t="shared" ca="1" si="27"/>
        <v>$H$40</v>
      </c>
    </row>
    <row r="207" spans="1:5">
      <c r="A207" t="str" cm="1">
        <f t="array" aca="1" ref="A207" ca="1">CELL("odkaz",Protokol!H41)</f>
        <v>'[12 - Kalkulačka_2024_09_30.xlsm]Protokol'!$H$41</v>
      </c>
      <c r="C207" t="str">
        <f t="shared" ca="1" si="26"/>
        <v>Protokol</v>
      </c>
      <c r="D207" t="str">
        <f t="shared" ca="1" si="27"/>
        <v>$H$41</v>
      </c>
      <c r="E207" s="403" t="s">
        <v>1206</v>
      </c>
    </row>
    <row r="208" spans="1:5">
      <c r="A208" t="str" cm="1">
        <f t="array" aca="1" ref="A208" ca="1">CELL("odkaz",Protokol!H42)</f>
        <v>'[12 - Kalkulačka_2024_09_30.xlsm]Protokol'!$H$42</v>
      </c>
      <c r="C208" t="str">
        <f t="shared" ca="1" si="26"/>
        <v>Protokol</v>
      </c>
      <c r="D208" t="str">
        <f t="shared" ca="1" si="27"/>
        <v>$H$42</v>
      </c>
    </row>
    <row r="209" spans="1:5">
      <c r="A209" t="str" cm="1">
        <f t="array" aca="1" ref="A209" ca="1">CELL("odkaz",Protokol!H43)</f>
        <v>'[12 - Kalkulačka_2024_09_30.xlsm]Protokol'!$H$43</v>
      </c>
      <c r="C209" t="str">
        <f t="shared" ca="1" si="26"/>
        <v>Protokol</v>
      </c>
      <c r="D209" t="str">
        <f t="shared" ca="1" si="27"/>
        <v>$H$43</v>
      </c>
      <c r="E209" s="403" t="s">
        <v>1206</v>
      </c>
    </row>
    <row r="210" spans="1:5">
      <c r="A210" t="str" cm="1">
        <f t="array" aca="1" ref="A210" ca="1">CELL("odkaz",Protokol!H44)</f>
        <v>'[12 - Kalkulačka_2024_09_30.xlsm]Protokol'!$H$44</v>
      </c>
      <c r="C210" t="str">
        <f t="shared" ca="1" si="26"/>
        <v>Protokol</v>
      </c>
      <c r="D210" t="str">
        <f t="shared" ca="1" si="27"/>
        <v>$H$44</v>
      </c>
    </row>
    <row r="211" spans="1:5">
      <c r="A211" t="str" cm="1">
        <f t="array" aca="1" ref="A211" ca="1">CELL("odkaz",Protokol!H45)</f>
        <v>'[12 - Kalkulačka_2024_09_30.xlsm]Protokol'!$H$45</v>
      </c>
      <c r="C211" t="str">
        <f t="shared" ca="1" si="26"/>
        <v>Protokol</v>
      </c>
      <c r="D211" t="str">
        <f t="shared" ca="1" si="27"/>
        <v>$H$45</v>
      </c>
      <c r="E211" s="403" t="s">
        <v>1206</v>
      </c>
    </row>
    <row r="212" spans="1:5">
      <c r="A212" t="str" cm="1">
        <f t="array" aca="1" ref="A212" ca="1">CELL("odkaz",Protokol!H49)</f>
        <v>'[12 - Kalkulačka_2024_09_30.xlsm]Protokol'!$H$49</v>
      </c>
      <c r="C212" t="str">
        <f t="shared" ca="1" si="26"/>
        <v>Protokol</v>
      </c>
      <c r="D212" t="str">
        <f t="shared" ca="1" si="27"/>
        <v>$H$49</v>
      </c>
    </row>
    <row r="213" spans="1:5">
      <c r="A213" t="str" cm="1">
        <f t="array" aca="1" ref="A213" ca="1">CELL("odkaz",Protokol!H50)</f>
        <v>'[12 - Kalkulačka_2024_09_30.xlsm]Protokol'!$H$50</v>
      </c>
      <c r="C213" t="str">
        <f t="shared" ca="1" si="26"/>
        <v>Protokol</v>
      </c>
      <c r="D213" t="str">
        <f t="shared" ca="1" si="27"/>
        <v>$H$50</v>
      </c>
    </row>
    <row r="214" spans="1:5">
      <c r="A214" t="str" cm="1">
        <f t="array" aca="1" ref="A214" ca="1">CELL("odkaz",Protokol!H51)</f>
        <v>'[12 - Kalkulačka_2024_09_30.xlsm]Protokol'!$H$51</v>
      </c>
      <c r="C214" t="str">
        <f t="shared" ca="1" si="26"/>
        <v>Protokol</v>
      </c>
      <c r="D214" t="str">
        <f t="shared" ca="1" si="27"/>
        <v>$H$51</v>
      </c>
      <c r="E214" s="403" t="s">
        <v>1206</v>
      </c>
    </row>
    <row r="215" spans="1:5">
      <c r="A215" t="str" cm="1">
        <f t="array" aca="1" ref="A215" ca="1">CELL("odkaz",Protokol!H52)</f>
        <v>'[12 - Kalkulačka_2024_09_30.xlsm]Protokol'!$H$52</v>
      </c>
      <c r="C215" t="str">
        <f t="shared" ca="1" si="26"/>
        <v>Protokol</v>
      </c>
      <c r="D215" t="str">
        <f t="shared" ca="1" si="27"/>
        <v>$H$52</v>
      </c>
    </row>
    <row r="216" spans="1:5">
      <c r="A216" t="str" cm="1">
        <f t="array" aca="1" ref="A216" ca="1">CELL("odkaz",Protokol!H53)</f>
        <v>'[12 - Kalkulačka_2024_09_30.xlsm]Protokol'!$H$53</v>
      </c>
      <c r="C216" t="str">
        <f t="shared" ca="1" si="26"/>
        <v>Protokol</v>
      </c>
      <c r="D216" t="str">
        <f t="shared" ca="1" si="27"/>
        <v>$H$53</v>
      </c>
    </row>
  </sheetData>
  <sheetProtection algorithmName="SHA-512" hashValue="8mGWAnHGRKy9ftSLETkcfK6g1IKVk3Gx9jr9oZ1tFiVSoroywQih5K1AmuuUeewfvwleTyQCWt1lhhtsntsRlQ==" saltValue="exMpFmtv4ylzfR6Ae6d/Dw==" spinCount="100000" sheet="1" objects="1" scenarios="1"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25</vt:i4>
      </vt:variant>
      <vt:variant>
        <vt:lpstr>Pojmenované oblasti</vt:lpstr>
      </vt:variant>
      <vt:variant>
        <vt:i4>114</vt:i4>
      </vt:variant>
    </vt:vector>
  </HeadingPairs>
  <TitlesOfParts>
    <vt:vector size="139" baseType="lpstr">
      <vt:lpstr>Hlavní list</vt:lpstr>
      <vt:lpstr>Zateplení</vt:lpstr>
      <vt:lpstr>Rekuperace</vt:lpstr>
      <vt:lpstr>Osvětlení</vt:lpstr>
      <vt:lpstr>Zdroj</vt:lpstr>
      <vt:lpstr>FVE</vt:lpstr>
      <vt:lpstr>Protokol</vt:lpstr>
      <vt:lpstr>Export</vt:lpstr>
      <vt:lpstr>Vstupy</vt:lpstr>
      <vt:lpstr>Bilance</vt:lpstr>
      <vt:lpstr>Globální</vt:lpstr>
      <vt:lpstr>Listy</vt:lpstr>
      <vt:lpstr>Parametry</vt:lpstr>
      <vt:lpstr>ParametryZateplení</vt:lpstr>
      <vt:lpstr>Budova</vt:lpstr>
      <vt:lpstr>Budova_Opatření</vt:lpstr>
      <vt:lpstr>ParametryRekuperace</vt:lpstr>
      <vt:lpstr>ParametryZdroje</vt:lpstr>
      <vt:lpstr>Nositele</vt:lpstr>
      <vt:lpstr>ParametryOsvětlení</vt:lpstr>
      <vt:lpstr>ParametryFVE</vt:lpstr>
      <vt:lpstr>Jen_zdroj</vt:lpstr>
      <vt:lpstr>Jen_zateplení</vt:lpstr>
      <vt:lpstr>Zdroj_a_zateplení</vt:lpstr>
      <vt:lpstr>Primární</vt:lpstr>
      <vt:lpstr>AdminMode</vt:lpstr>
      <vt:lpstr>ano</vt:lpstr>
      <vt:lpstr>ano_ne</vt:lpstr>
      <vt:lpstr>CFLMax</vt:lpstr>
      <vt:lpstr>CFLMin</vt:lpstr>
      <vt:lpstr>DeltaUPodlaha</vt:lpstr>
      <vt:lpstr>DeltaUStěny</vt:lpstr>
      <vt:lpstr>DeltaUStřecha</vt:lpstr>
      <vt:lpstr>Denostupně</vt:lpstr>
      <vt:lpstr>elektrokotel</vt:lpstr>
      <vt:lpstr>EtaZdrBudova</vt:lpstr>
      <vt:lpstr>EtaZdrNew</vt:lpstr>
      <vt:lpstr>ETAZdrOld</vt:lpstr>
      <vt:lpstr>HalogenMax</vt:lpstr>
      <vt:lpstr>HalogenMin</vt:lpstr>
      <vt:lpstr>je_export</vt:lpstr>
      <vt:lpstr>je_FVE</vt:lpstr>
      <vt:lpstr>je_osvětlení</vt:lpstr>
      <vt:lpstr>je_protokol</vt:lpstr>
      <vt:lpstr>je_rekuperace</vt:lpstr>
      <vt:lpstr>je_zateplení</vt:lpstr>
      <vt:lpstr>je_zdroj</vt:lpstr>
      <vt:lpstr>JePENB</vt:lpstr>
      <vt:lpstr>Kontrola</vt:lpstr>
      <vt:lpstr>kotel_na_topný_olej</vt:lpstr>
      <vt:lpstr>kotel_na_zemní_plyn</vt:lpstr>
      <vt:lpstr>KS_konstrukce_po</vt:lpstr>
      <vt:lpstr>KS_konstrukce_před</vt:lpstr>
      <vt:lpstr>KS_osvětlení_před</vt:lpstr>
      <vt:lpstr>KS_PENB_před</vt:lpstr>
      <vt:lpstr>KS_z_listu_kotel</vt:lpstr>
      <vt:lpstr>KS_zateplení_zadaná</vt:lpstr>
      <vt:lpstr>kWh_na_GJ</vt:lpstr>
      <vt:lpstr>LambdaPodlaha</vt:lpstr>
      <vt:lpstr>LambdaStěny</vt:lpstr>
      <vt:lpstr>LambdaStřecha</vt:lpstr>
      <vt:lpstr>MaxCOPTČOld</vt:lpstr>
      <vt:lpstr>MaxEtaZdrOld</vt:lpstr>
      <vt:lpstr>MaxPiBaterie</vt:lpstr>
      <vt:lpstr>MaxTeplota</vt:lpstr>
      <vt:lpstr>MaxTlIzol</vt:lpstr>
      <vt:lpstr>MaxU</vt:lpstr>
      <vt:lpstr>MaxUPENB</vt:lpstr>
      <vt:lpstr>MaxÚspora</vt:lpstr>
      <vt:lpstr>MaxVyužFVE</vt:lpstr>
      <vt:lpstr>MinCOPTČOld</vt:lpstr>
      <vt:lpstr>MinDeltaSpotřeby</vt:lpstr>
      <vt:lpstr>MinDeltaU</vt:lpstr>
      <vt:lpstr>MinEtaRekuperace</vt:lpstr>
      <vt:lpstr>MinEtaZdrOld</vt:lpstr>
      <vt:lpstr>MinPiBaterie</vt:lpstr>
      <vt:lpstr>MinSpotř_m2</vt:lpstr>
      <vt:lpstr>MinTeplota</vt:lpstr>
      <vt:lpstr>MinU</vt:lpstr>
      <vt:lpstr>MinUPENB</vt:lpstr>
      <vt:lpstr>MinÚspora</vt:lpstr>
      <vt:lpstr>MinVyužFVE</vt:lpstr>
      <vt:lpstr>ne</vt:lpstr>
      <vt:lpstr>nový_kotel</vt:lpstr>
      <vt:lpstr>Protokol!Oblast_tisku</vt:lpstr>
      <vt:lpstr>PamátkováOchrana</vt:lpstr>
      <vt:lpstr>PassWord</vt:lpstr>
      <vt:lpstr>PlochaDveří</vt:lpstr>
      <vt:lpstr>PlochaOken</vt:lpstr>
      <vt:lpstr>PlochaPodlahy</vt:lpstr>
      <vt:lpstr>PlochaStěn</vt:lpstr>
      <vt:lpstr>PlochaStřechy</vt:lpstr>
      <vt:lpstr>PlochaSvětlíků</vt:lpstr>
      <vt:lpstr>PodlahováPlocha</vt:lpstr>
      <vt:lpstr>roky</vt:lpstr>
      <vt:lpstr>RtuťovkaMax</vt:lpstr>
      <vt:lpstr>RtuťovkaMin</vt:lpstr>
      <vt:lpstr>Snížení_ZV</vt:lpstr>
      <vt:lpstr>Stará_paliva</vt:lpstr>
      <vt:lpstr>starý_kotel</vt:lpstr>
      <vt:lpstr>TlIzolPodlahy</vt:lpstr>
      <vt:lpstr>TlIzolStěn</vt:lpstr>
      <vt:lpstr>TlIzolStřechy</vt:lpstr>
      <vt:lpstr>Typ_SZT</vt:lpstr>
      <vt:lpstr>TypBudovy</vt:lpstr>
      <vt:lpstr>Účinnost_nová</vt:lpstr>
      <vt:lpstr>Účinnost_stará</vt:lpstr>
      <vt:lpstr>UDveří</vt:lpstr>
      <vt:lpstr>UOken</vt:lpstr>
      <vt:lpstr>UPodlahy</vt:lpstr>
      <vt:lpstr>US_konstrukce_po</vt:lpstr>
      <vt:lpstr>US_konstrukce_před</vt:lpstr>
      <vt:lpstr>US_PENB_před</vt:lpstr>
      <vt:lpstr>US_z_listu_kotel</vt:lpstr>
      <vt:lpstr>US_zateplení_zadaná</vt:lpstr>
      <vt:lpstr>UStěn</vt:lpstr>
      <vt:lpstr>UStřechy</vt:lpstr>
      <vt:lpstr>USvětlíků</vt:lpstr>
      <vt:lpstr>Verze</vt:lpstr>
      <vt:lpstr>VnějšíTeplota</vt:lpstr>
      <vt:lpstr>VnitřníTeplota</vt:lpstr>
      <vt:lpstr>Výjimka</vt:lpstr>
      <vt:lpstr>VýměnaDveří</vt:lpstr>
      <vt:lpstr>VýměnaOken</vt:lpstr>
      <vt:lpstr>VýměnaSvětlíků</vt:lpstr>
      <vt:lpstr>ZářivkaMax</vt:lpstr>
      <vt:lpstr>ZářivkaMin</vt:lpstr>
      <vt:lpstr>ZatepleníPodlahy</vt:lpstr>
      <vt:lpstr>ZatepleníStěn</vt:lpstr>
      <vt:lpstr>ZatepleníStřechy</vt:lpstr>
      <vt:lpstr>ZdrojIdxBudova</vt:lpstr>
      <vt:lpstr>ZdrojIdxNew</vt:lpstr>
      <vt:lpstr>ZdrojIdxOld</vt:lpstr>
      <vt:lpstr>ZdrojPočetPaliv</vt:lpstr>
      <vt:lpstr>ZdrojPočetPalivBudova</vt:lpstr>
      <vt:lpstr>Způsobilost</vt:lpstr>
      <vt:lpstr>ZpůsobVýpočtu</vt:lpstr>
      <vt:lpstr>ŽárovkaMax</vt:lpstr>
      <vt:lpstr>ŽárovkaMin</vt:lpstr>
    </vt:vector>
  </TitlesOfParts>
  <Company>Enviros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Jiří Spitz</dc:creator>
  <cp:lastModifiedBy>Novák Radomír Ing.</cp:lastModifiedBy>
  <cp:lastPrinted>2024-09-13T14:35:55Z</cp:lastPrinted>
  <dcterms:created xsi:type="dcterms:W3CDTF">2024-07-19T08:48:53Z</dcterms:created>
  <dcterms:modified xsi:type="dcterms:W3CDTF">2024-10-03T06:29:35Z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cdfe1c1-b1b6-43c7-bd25-dc909155e0b9_Enabled">
    <vt:lpwstr>true</vt:lpwstr>
  </property>
  <property fmtid="{D5CDD505-2E9C-101B-9397-08002B2CF9AE}" pid="3" name="MSIP_Label_9cdfe1c1-b1b6-43c7-bd25-dc909155e0b9_SetDate">
    <vt:lpwstr>2024-09-27T05:42:34Z</vt:lpwstr>
  </property>
  <property fmtid="{D5CDD505-2E9C-101B-9397-08002B2CF9AE}" pid="4" name="MSIP_Label_9cdfe1c1-b1b6-43c7-bd25-dc909155e0b9_Method">
    <vt:lpwstr>Standard</vt:lpwstr>
  </property>
  <property fmtid="{D5CDD505-2E9C-101B-9397-08002B2CF9AE}" pid="5" name="MSIP_Label_9cdfe1c1-b1b6-43c7-bd25-dc909155e0b9_Name">
    <vt:lpwstr>Interní informace</vt:lpwstr>
  </property>
  <property fmtid="{D5CDD505-2E9C-101B-9397-08002B2CF9AE}" pid="6" name="MSIP_Label_9cdfe1c1-b1b6-43c7-bd25-dc909155e0b9_SiteId">
    <vt:lpwstr>4d1a3907-6ad7-4739-80b5-b7ed4066a30b</vt:lpwstr>
  </property>
  <property fmtid="{D5CDD505-2E9C-101B-9397-08002B2CF9AE}" pid="7" name="MSIP_Label_9cdfe1c1-b1b6-43c7-bd25-dc909155e0b9_ActionId">
    <vt:lpwstr>e912507b-6a06-4a07-80e1-c194db0b6623</vt:lpwstr>
  </property>
  <property fmtid="{D5CDD505-2E9C-101B-9397-08002B2CF9AE}" pid="8" name="MSIP_Label_9cdfe1c1-b1b6-43c7-bd25-dc909155e0b9_ContentBits">
    <vt:lpwstr>0</vt:lpwstr>
  </property>
</Properties>
</file>